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D:\ECAPCS\"/>
    </mc:Choice>
  </mc:AlternateContent>
  <xr:revisionPtr revIDLastSave="0" documentId="13_ncr:1_{7D6248AB-F1DA-4AB5-9F8F-60C10480F0C9}" xr6:coauthVersionLast="36" xr6:coauthVersionMax="43" xr10:uidLastSave="{00000000-0000-0000-0000-000000000000}"/>
  <bookViews>
    <workbookView xWindow="585" yWindow="525" windowWidth="22470" windowHeight="14685" tabRatio="995" xr2:uid="{00000000-000D-0000-FFFF-FFFF00000000}"/>
  </bookViews>
  <sheets>
    <sheet name="ECAPCS Budget 19-20" sheetId="1" r:id="rId1"/>
    <sheet name="Health Care" sheetId="21" state="hidden" r:id="rId2"/>
    <sheet name="Personnel (2)" sheetId="28" state="hidden" r:id="rId3"/>
    <sheet name="Technology" sheetId="18" state="hidden" r:id="rId4"/>
    <sheet name="Before After" sheetId="6" state="hidden" r:id="rId5"/>
    <sheet name="Budget Yr2" sheetId="9" state="hidden" r:id="rId6"/>
    <sheet name="Wkend Reader" sheetId="5" state="hidden" r:id="rId7"/>
    <sheet name="Health Insurance" sheetId="25" state="hidden" r:id="rId8"/>
  </sheets>
  <definedNames>
    <definedName name="_xlnm.Print_Area" localSheetId="0">'ECAPCS Budget 19-20'!$A$1:$N$100</definedName>
    <definedName name="_xlnm.Print_Area" localSheetId="1">'Health Care'!$A$1:$H$83</definedName>
    <definedName name="_xlnm.Print_Area" localSheetId="2">'Personnel (2)'!$A$1:$Q$121</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61" i="1" l="1"/>
  <c r="K61" i="1"/>
  <c r="G26" i="1"/>
  <c r="G27" i="1"/>
  <c r="G34" i="1"/>
  <c r="G17" i="1" l="1"/>
  <c r="G14" i="1"/>
  <c r="K17" i="1" l="1"/>
  <c r="N17" i="1" s="1"/>
  <c r="K82" i="1"/>
  <c r="C39" i="25"/>
  <c r="C40" i="25" s="1"/>
  <c r="C41" i="25" s="1"/>
  <c r="K60" i="1"/>
  <c r="N60" i="1" s="1"/>
  <c r="E30" i="25"/>
  <c r="D30" i="25"/>
  <c r="E31" i="25"/>
  <c r="F31" i="25" s="1"/>
  <c r="G31" i="25" s="1"/>
  <c r="H31" i="25" s="1"/>
  <c r="I31" i="25" s="1"/>
  <c r="E29" i="25"/>
  <c r="F29" i="25" s="1"/>
  <c r="E28" i="25"/>
  <c r="F28" i="25" s="1"/>
  <c r="E27" i="25"/>
  <c r="E24" i="25"/>
  <c r="F24" i="25" s="1"/>
  <c r="G24" i="25" s="1"/>
  <c r="H24" i="25" s="1"/>
  <c r="I24" i="25" s="1"/>
  <c r="E23" i="25"/>
  <c r="F23" i="25" s="1"/>
  <c r="G23" i="25" s="1"/>
  <c r="H23" i="25" s="1"/>
  <c r="I23" i="25" s="1"/>
  <c r="E22" i="25"/>
  <c r="E18" i="25"/>
  <c r="E17" i="25"/>
  <c r="E16" i="25"/>
  <c r="F16" i="25" s="1"/>
  <c r="G16" i="25" s="1"/>
  <c r="H16" i="25" s="1"/>
  <c r="I16" i="25" s="1"/>
  <c r="E15" i="25"/>
  <c r="E14" i="25"/>
  <c r="F14" i="25" s="1"/>
  <c r="G14" i="25" s="1"/>
  <c r="H14" i="25" s="1"/>
  <c r="I14" i="25" s="1"/>
  <c r="D31" i="25"/>
  <c r="D29" i="25"/>
  <c r="D28" i="25"/>
  <c r="D27" i="25"/>
  <c r="D24" i="25"/>
  <c r="D23" i="25"/>
  <c r="D22" i="25"/>
  <c r="D18" i="25"/>
  <c r="D17" i="25"/>
  <c r="D16" i="25"/>
  <c r="D15" i="25"/>
  <c r="D14" i="25"/>
  <c r="K14" i="25" s="1"/>
  <c r="B25" i="25"/>
  <c r="F76" i="28"/>
  <c r="G76" i="28" s="1"/>
  <c r="E72" i="28"/>
  <c r="F72" i="28" s="1"/>
  <c r="H108" i="28"/>
  <c r="H106" i="28"/>
  <c r="H103" i="28"/>
  <c r="F92" i="28"/>
  <c r="D91" i="28"/>
  <c r="N90" i="28"/>
  <c r="L87" i="28"/>
  <c r="F87" i="28"/>
  <c r="E87" i="28"/>
  <c r="L86" i="28"/>
  <c r="F86" i="28"/>
  <c r="E86" i="28"/>
  <c r="L85" i="28"/>
  <c r="F85" i="28"/>
  <c r="E85" i="28"/>
  <c r="M81" i="28"/>
  <c r="L81" i="28"/>
  <c r="E81" i="28"/>
  <c r="H77" i="28"/>
  <c r="M76" i="28"/>
  <c r="L76" i="28"/>
  <c r="M75" i="28"/>
  <c r="L75" i="28"/>
  <c r="E75" i="28"/>
  <c r="F74" i="28"/>
  <c r="G74" i="28" s="1"/>
  <c r="L73" i="28"/>
  <c r="E73" i="28"/>
  <c r="L72" i="28"/>
  <c r="L71" i="28"/>
  <c r="E71" i="28"/>
  <c r="L70" i="28"/>
  <c r="E70" i="28"/>
  <c r="F70" i="28"/>
  <c r="G70" i="28" s="1"/>
  <c r="H70" i="28" s="1"/>
  <c r="L69" i="28"/>
  <c r="E69" i="28"/>
  <c r="L68" i="28"/>
  <c r="E68" i="28"/>
  <c r="F68" i="28" s="1"/>
  <c r="L67" i="28"/>
  <c r="E67" i="28"/>
  <c r="F67" i="28" s="1"/>
  <c r="G67" i="28" s="1"/>
  <c r="J67" i="28" s="1"/>
  <c r="L66" i="28"/>
  <c r="E66" i="28"/>
  <c r="F66" i="28" s="1"/>
  <c r="G66" i="28" s="1"/>
  <c r="L65" i="28"/>
  <c r="E65" i="28"/>
  <c r="L64" i="28"/>
  <c r="E64" i="28"/>
  <c r="L63" i="28"/>
  <c r="E63" i="28"/>
  <c r="F63" i="28" s="1"/>
  <c r="A63" i="28"/>
  <c r="A64" i="28" s="1"/>
  <c r="A65" i="28" s="1"/>
  <c r="A66" i="28" s="1"/>
  <c r="A67" i="28" s="1"/>
  <c r="A68" i="28" s="1"/>
  <c r="A69" i="28" s="1"/>
  <c r="A70" i="28" s="1"/>
  <c r="A71" i="28" s="1"/>
  <c r="A72" i="28" s="1"/>
  <c r="A73" i="28" s="1"/>
  <c r="A74" i="28" s="1"/>
  <c r="A75" i="28" s="1"/>
  <c r="A76" i="28" s="1"/>
  <c r="L59" i="28"/>
  <c r="E59" i="28"/>
  <c r="L58" i="28"/>
  <c r="E58" i="28"/>
  <c r="F58" i="28" s="1"/>
  <c r="G58" i="28" s="1"/>
  <c r="H58" i="28" s="1"/>
  <c r="M55" i="28"/>
  <c r="L55" i="28"/>
  <c r="E55" i="28"/>
  <c r="G55" i="28" s="1"/>
  <c r="K55" i="28" s="1"/>
  <c r="M54" i="28"/>
  <c r="L54" i="28"/>
  <c r="E54" i="28"/>
  <c r="G54" i="28" s="1"/>
  <c r="M53" i="28"/>
  <c r="L53" i="28"/>
  <c r="E53" i="28"/>
  <c r="F53" i="28" s="1"/>
  <c r="M51" i="28"/>
  <c r="L51" i="28"/>
  <c r="E51" i="28"/>
  <c r="M50" i="28"/>
  <c r="L50" i="28"/>
  <c r="E50" i="28"/>
  <c r="F50" i="28"/>
  <c r="M46" i="28"/>
  <c r="L46" i="28"/>
  <c r="M45" i="28"/>
  <c r="L45" i="28"/>
  <c r="E45" i="28"/>
  <c r="M42" i="28"/>
  <c r="L42" i="28"/>
  <c r="E42" i="28"/>
  <c r="F42" i="28" s="1"/>
  <c r="M41" i="28"/>
  <c r="L41" i="28"/>
  <c r="E41" i="28"/>
  <c r="M37" i="28"/>
  <c r="L37" i="28"/>
  <c r="L7" i="28"/>
  <c r="L8" i="28"/>
  <c r="L9" i="28"/>
  <c r="L10" i="28"/>
  <c r="L11" i="28"/>
  <c r="L12" i="28"/>
  <c r="L13" i="28"/>
  <c r="L14" i="28"/>
  <c r="L15" i="28"/>
  <c r="L16" i="28"/>
  <c r="L17" i="28"/>
  <c r="L21" i="28"/>
  <c r="L22" i="28"/>
  <c r="L23" i="28"/>
  <c r="L27" i="28"/>
  <c r="L28" i="28"/>
  <c r="L29" i="28"/>
  <c r="L32" i="28"/>
  <c r="L33" i="28"/>
  <c r="L36" i="28"/>
  <c r="E37" i="28"/>
  <c r="F37" i="28" s="1"/>
  <c r="F38" i="28" s="1"/>
  <c r="M36" i="28"/>
  <c r="E36" i="28"/>
  <c r="G36" i="28" s="1"/>
  <c r="H36" i="28" s="1"/>
  <c r="M33" i="28"/>
  <c r="E33" i="28"/>
  <c r="F33" i="28" s="1"/>
  <c r="M32" i="28"/>
  <c r="E32" i="28"/>
  <c r="G32" i="28" s="1"/>
  <c r="M29" i="28"/>
  <c r="E29" i="28"/>
  <c r="E28" i="28"/>
  <c r="G28" i="28" s="1"/>
  <c r="H28" i="28" s="1"/>
  <c r="M27" i="28"/>
  <c r="E27" i="28"/>
  <c r="M23" i="28"/>
  <c r="E23" i="28"/>
  <c r="F23" i="28" s="1"/>
  <c r="G23" i="28" s="1"/>
  <c r="M22" i="28"/>
  <c r="E22" i="28"/>
  <c r="F22" i="28"/>
  <c r="G22" i="28" s="1"/>
  <c r="M21" i="28"/>
  <c r="E21" i="28"/>
  <c r="G21" i="28" s="1"/>
  <c r="E17" i="28"/>
  <c r="F17" i="28" s="1"/>
  <c r="G17" i="28" s="1"/>
  <c r="J17" i="28" s="1"/>
  <c r="E16" i="28"/>
  <c r="E15" i="28"/>
  <c r="F15" i="28" s="1"/>
  <c r="G15" i="28" s="1"/>
  <c r="H15" i="28" s="1"/>
  <c r="E14" i="28"/>
  <c r="F14" i="28" s="1"/>
  <c r="G14" i="28" s="1"/>
  <c r="K14" i="28" s="1"/>
  <c r="E13" i="28"/>
  <c r="E12" i="28"/>
  <c r="F12" i="28" s="1"/>
  <c r="E11" i="28"/>
  <c r="F11" i="28" s="1"/>
  <c r="M10" i="28"/>
  <c r="E10" i="28"/>
  <c r="F10" i="28" s="1"/>
  <c r="M9" i="28"/>
  <c r="E9" i="28"/>
  <c r="F9" i="28" s="1"/>
  <c r="G9" i="28" s="1"/>
  <c r="Q8" i="28"/>
  <c r="J8" i="28"/>
  <c r="E8" i="28"/>
  <c r="F8" i="28" s="1"/>
  <c r="G8" i="28" s="1"/>
  <c r="A8" i="28"/>
  <c r="A9" i="28"/>
  <c r="A10" i="28" s="1"/>
  <c r="A11" i="28" s="1"/>
  <c r="A12" i="28" s="1"/>
  <c r="A13" i="28" s="1"/>
  <c r="A14" i="28" s="1"/>
  <c r="A15" i="28" s="1"/>
  <c r="A16" i="28" s="1"/>
  <c r="A17" i="28" s="1"/>
  <c r="A21" i="28" s="1"/>
  <c r="M7" i="28"/>
  <c r="J7" i="28"/>
  <c r="E7" i="28"/>
  <c r="F7" i="28" s="1"/>
  <c r="M4" i="28"/>
  <c r="M3" i="28"/>
  <c r="F41" i="28"/>
  <c r="F65" i="28"/>
  <c r="G65" i="28" s="1"/>
  <c r="K65" i="28" s="1"/>
  <c r="F69" i="28"/>
  <c r="B19" i="25"/>
  <c r="B32" i="25"/>
  <c r="K5" i="9"/>
  <c r="A6" i="9"/>
  <c r="A7" i="9" s="1"/>
  <c r="A8" i="9" s="1"/>
  <c r="A9" i="9" s="1"/>
  <c r="A10" i="9" s="1"/>
  <c r="A11" i="9" s="1"/>
  <c r="A12" i="9" s="1"/>
  <c r="A13" i="9" s="1"/>
  <c r="A14" i="9" s="1"/>
  <c r="A15" i="9" s="1"/>
  <c r="A16" i="9" s="1"/>
  <c r="A17" i="9" s="1"/>
  <c r="A18" i="9" s="1"/>
  <c r="K6" i="9"/>
  <c r="K7" i="9"/>
  <c r="K8" i="9"/>
  <c r="K9" i="9"/>
  <c r="K10" i="9"/>
  <c r="K11" i="9"/>
  <c r="K12" i="9"/>
  <c r="K13" i="9"/>
  <c r="K14" i="9"/>
  <c r="K15" i="9"/>
  <c r="A23" i="9"/>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M37" i="9"/>
  <c r="A90" i="9"/>
  <c r="K59" i="1"/>
  <c r="N59" i="1" s="1"/>
  <c r="D6" i="18"/>
  <c r="D7" i="18"/>
  <c r="D8" i="18"/>
  <c r="D9" i="18"/>
  <c r="D10" i="18"/>
  <c r="D11" i="18"/>
  <c r="D12" i="18"/>
  <c r="D13" i="18"/>
  <c r="D14" i="18"/>
  <c r="D15" i="18"/>
  <c r="C16" i="18"/>
  <c r="F8" i="21"/>
  <c r="G8" i="21"/>
  <c r="F9" i="21"/>
  <c r="G9" i="21"/>
  <c r="F11" i="21"/>
  <c r="G11" i="21"/>
  <c r="F12" i="21"/>
  <c r="G12" i="21"/>
  <c r="F13" i="21"/>
  <c r="G13" i="21"/>
  <c r="F14" i="21"/>
  <c r="G14" i="21"/>
  <c r="F18" i="21"/>
  <c r="G18" i="21"/>
  <c r="F19" i="21"/>
  <c r="G19" i="21"/>
  <c r="F23" i="21"/>
  <c r="G23" i="21"/>
  <c r="F24" i="21"/>
  <c r="G24" i="21"/>
  <c r="F27" i="21"/>
  <c r="G27" i="21"/>
  <c r="F28" i="21"/>
  <c r="G28" i="21"/>
  <c r="F31" i="21"/>
  <c r="G31" i="21"/>
  <c r="F32" i="21"/>
  <c r="G32" i="21"/>
  <c r="F36" i="21"/>
  <c r="G36" i="21"/>
  <c r="F37" i="21"/>
  <c r="G37" i="21"/>
  <c r="F40" i="21"/>
  <c r="G40" i="21"/>
  <c r="F41" i="21"/>
  <c r="G41" i="21"/>
  <c r="F44" i="21"/>
  <c r="G44" i="21"/>
  <c r="F45" i="21"/>
  <c r="G45" i="21"/>
  <c r="F46" i="21"/>
  <c r="G46" i="21"/>
  <c r="F47" i="21"/>
  <c r="G47" i="21"/>
  <c r="F48" i="21"/>
  <c r="G48" i="21"/>
  <c r="F49" i="21"/>
  <c r="G49" i="21"/>
  <c r="F57" i="21"/>
  <c r="G57" i="21"/>
  <c r="F58" i="21"/>
  <c r="G58" i="21"/>
  <c r="F60" i="21"/>
  <c r="G60" i="21"/>
  <c r="F62" i="21"/>
  <c r="G62" i="21"/>
  <c r="E71" i="21"/>
  <c r="G75" i="21"/>
  <c r="J97" i="21"/>
  <c r="K97" i="21" s="1"/>
  <c r="L97" i="21" s="1"/>
  <c r="K98" i="21"/>
  <c r="L98" i="21" s="1"/>
  <c r="K9" i="1"/>
  <c r="N9" i="1" s="1"/>
  <c r="K10" i="1"/>
  <c r="N10" i="1" s="1"/>
  <c r="K40" i="1"/>
  <c r="K43" i="1"/>
  <c r="K45" i="1"/>
  <c r="N45" i="1" s="1"/>
  <c r="K47" i="1"/>
  <c r="K49" i="1"/>
  <c r="N49" i="1" s="1"/>
  <c r="K54" i="1"/>
  <c r="N54" i="1" s="1"/>
  <c r="K70" i="1"/>
  <c r="N73" i="1" s="1"/>
  <c r="K73" i="1"/>
  <c r="K74" i="1"/>
  <c r="K77" i="1"/>
  <c r="K86" i="1"/>
  <c r="N86" i="1" s="1"/>
  <c r="K88" i="1"/>
  <c r="N88" i="1" s="1"/>
  <c r="K89" i="1"/>
  <c r="N89" i="1" s="1"/>
  <c r="K90" i="1"/>
  <c r="N90" i="1" s="1"/>
  <c r="K91" i="1"/>
  <c r="N91" i="1" s="1"/>
  <c r="K92" i="1"/>
  <c r="N92" i="1" s="1"/>
  <c r="K12" i="1"/>
  <c r="N12" i="1" s="1"/>
  <c r="A9" i="1"/>
  <c r="A10" i="1" s="1"/>
  <c r="A11" i="1" s="1"/>
  <c r="A12" i="1" s="1"/>
  <c r="A13" i="1" s="1"/>
  <c r="A14" i="1" s="1"/>
  <c r="A15" i="1" s="1"/>
  <c r="A16" i="1" s="1"/>
  <c r="A17" i="1" s="1"/>
  <c r="A18" i="1" s="1"/>
  <c r="A19" i="1" s="1"/>
  <c r="A20" i="1" s="1"/>
  <c r="A21"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K14" i="1"/>
  <c r="N14" i="1" s="1"/>
  <c r="I18" i="1"/>
  <c r="I21" i="1" s="1"/>
  <c r="N19" i="1"/>
  <c r="N20" i="1"/>
  <c r="I37" i="1"/>
  <c r="J37" i="1"/>
  <c r="I50" i="1"/>
  <c r="I62" i="1"/>
  <c r="I79" i="1"/>
  <c r="I93" i="1"/>
  <c r="J50" i="1"/>
  <c r="J62" i="1"/>
  <c r="J79" i="1"/>
  <c r="J93" i="1"/>
  <c r="K72" i="1"/>
  <c r="K46" i="28"/>
  <c r="H46" i="28"/>
  <c r="J46" i="28"/>
  <c r="O46" i="28"/>
  <c r="O54" i="28"/>
  <c r="J54" i="28"/>
  <c r="F18" i="25"/>
  <c r="G18" i="25" s="1"/>
  <c r="H18" i="25" s="1"/>
  <c r="I18" i="25" s="1"/>
  <c r="F27" i="25"/>
  <c r="G27" i="25" s="1"/>
  <c r="H27" i="25" s="1"/>
  <c r="I27" i="25" s="1"/>
  <c r="F15" i="25"/>
  <c r="F22" i="25"/>
  <c r="G22" i="25" s="1"/>
  <c r="H22" i="25" s="1"/>
  <c r="K56" i="1"/>
  <c r="N56" i="1" s="1"/>
  <c r="K85" i="1"/>
  <c r="F59" i="28"/>
  <c r="G59" i="28" s="1"/>
  <c r="J59" i="28" s="1"/>
  <c r="G41" i="28"/>
  <c r="H41" i="28" s="1"/>
  <c r="F71" i="28"/>
  <c r="G71" i="28" s="1"/>
  <c r="O71" i="28" s="1"/>
  <c r="K41" i="1"/>
  <c r="H105" i="28"/>
  <c r="F73" i="28"/>
  <c r="G73" i="28" s="1"/>
  <c r="H73" i="28" s="1"/>
  <c r="G28" i="25"/>
  <c r="H28" i="25" s="1"/>
  <c r="I28" i="25" s="1"/>
  <c r="K17" i="28"/>
  <c r="K15" i="1"/>
  <c r="N15" i="1" s="1"/>
  <c r="K58" i="1"/>
  <c r="N58" i="1" s="1"/>
  <c r="K55" i="1"/>
  <c r="N55" i="1" s="1"/>
  <c r="E72" i="21"/>
  <c r="F34" i="28"/>
  <c r="G33" i="28"/>
  <c r="H33" i="28" s="1"/>
  <c r="M24" i="9"/>
  <c r="M28" i="9"/>
  <c r="M34" i="9"/>
  <c r="M40" i="9"/>
  <c r="M44" i="9"/>
  <c r="M51" i="9"/>
  <c r="M55" i="9"/>
  <c r="M60" i="9"/>
  <c r="M66" i="9"/>
  <c r="M23" i="9"/>
  <c r="M29" i="9"/>
  <c r="M38" i="9"/>
  <c r="M43" i="9"/>
  <c r="M52" i="9"/>
  <c r="M57" i="9"/>
  <c r="M65" i="9"/>
  <c r="M70" i="9"/>
  <c r="M77" i="9"/>
  <c r="M81" i="9"/>
  <c r="M25" i="9"/>
  <c r="M30" i="9"/>
  <c r="M39" i="9"/>
  <c r="M45" i="9"/>
  <c r="M53" i="9"/>
  <c r="M58" i="9"/>
  <c r="M67" i="9"/>
  <c r="M72" i="9"/>
  <c r="M78" i="9"/>
  <c r="M83" i="9"/>
  <c r="M26" i="9"/>
  <c r="M41" i="9"/>
  <c r="M54" i="9"/>
  <c r="M68" i="9"/>
  <c r="M79" i="9"/>
  <c r="M27" i="9"/>
  <c r="M42" i="9"/>
  <c r="M56" i="9"/>
  <c r="M69" i="9"/>
  <c r="M80" i="9"/>
  <c r="M22" i="9"/>
  <c r="M32" i="9"/>
  <c r="M47" i="9"/>
  <c r="M63" i="9"/>
  <c r="M75" i="9"/>
  <c r="M85" i="9"/>
  <c r="H54" i="28"/>
  <c r="K54" i="28"/>
  <c r="G10" i="28"/>
  <c r="J10" i="28" s="1"/>
  <c r="F81" i="28"/>
  <c r="G81" i="28" s="1"/>
  <c r="F64" i="28"/>
  <c r="G64" i="28" s="1"/>
  <c r="H64" i="28" s="1"/>
  <c r="F17" i="25"/>
  <c r="G17" i="25" s="1"/>
  <c r="H17" i="25" s="1"/>
  <c r="I17" i="25" s="1"/>
  <c r="E74" i="21"/>
  <c r="I22" i="25"/>
  <c r="N98" i="21" l="1"/>
  <c r="F71" i="21"/>
  <c r="G71" i="21" s="1"/>
  <c r="K11" i="1"/>
  <c r="N11" i="1" s="1"/>
  <c r="K21" i="28"/>
  <c r="H21" i="28"/>
  <c r="O73" i="28"/>
  <c r="K36" i="28"/>
  <c r="H10" i="28"/>
  <c r="B33" i="25"/>
  <c r="B36" i="25" s="1"/>
  <c r="H76" i="28"/>
  <c r="J76" i="28"/>
  <c r="K76" i="28"/>
  <c r="K9" i="28"/>
  <c r="J9" i="28"/>
  <c r="O66" i="28"/>
  <c r="H66" i="28"/>
  <c r="O17" i="28"/>
  <c r="O36" i="28"/>
  <c r="J65" i="28"/>
  <c r="G29" i="25"/>
  <c r="H29" i="25" s="1"/>
  <c r="I29" i="25" s="1"/>
  <c r="O21" i="28"/>
  <c r="G68" i="28"/>
  <c r="G11" i="28"/>
  <c r="F45" i="28"/>
  <c r="F47" i="28" s="1"/>
  <c r="G63" i="28"/>
  <c r="O63" i="28" s="1"/>
  <c r="H17" i="28"/>
  <c r="J21" i="28"/>
  <c r="J36" i="28"/>
  <c r="K71" i="1"/>
  <c r="K67" i="1"/>
  <c r="N67" i="1" s="1"/>
  <c r="G86" i="28"/>
  <c r="O86" i="28" s="1"/>
  <c r="I25" i="25"/>
  <c r="K83" i="1"/>
  <c r="K69" i="1"/>
  <c r="N71" i="1" s="1"/>
  <c r="G87" i="28"/>
  <c r="J87" i="28" s="1"/>
  <c r="O70" i="28"/>
  <c r="K59" i="28"/>
  <c r="H59" i="28"/>
  <c r="H60" i="28" s="1"/>
  <c r="F72" i="21"/>
  <c r="K76" i="1"/>
  <c r="N70" i="1" s="1"/>
  <c r="O28" i="28"/>
  <c r="G53" i="28"/>
  <c r="L99" i="21"/>
  <c r="N99" i="21" s="1"/>
  <c r="G85" i="28"/>
  <c r="K85" i="28" s="1"/>
  <c r="K8" i="28"/>
  <c r="H8" i="28"/>
  <c r="O8" i="28"/>
  <c r="O68" i="28"/>
  <c r="J68" i="28"/>
  <c r="K68" i="28"/>
  <c r="O22" i="28"/>
  <c r="J22" i="28"/>
  <c r="K22" i="28"/>
  <c r="K46" i="1"/>
  <c r="N46" i="1" s="1"/>
  <c r="K73" i="28"/>
  <c r="J73" i="28"/>
  <c r="O9" i="28"/>
  <c r="H9" i="28"/>
  <c r="D16" i="18"/>
  <c r="D18" i="18" s="1"/>
  <c r="F27" i="28"/>
  <c r="O41" i="28"/>
  <c r="H22" i="28"/>
  <c r="G15" i="25"/>
  <c r="H15" i="25" s="1"/>
  <c r="K87" i="1"/>
  <c r="N87" i="1" s="1"/>
  <c r="K75" i="1"/>
  <c r="N69" i="1" s="1"/>
  <c r="K65" i="1"/>
  <c r="N65" i="1" s="1"/>
  <c r="O81" i="28"/>
  <c r="H81" i="28"/>
  <c r="H83" i="28" s="1"/>
  <c r="G72" i="21"/>
  <c r="G73" i="21" s="1"/>
  <c r="G74" i="21" s="1"/>
  <c r="G76" i="21" s="1"/>
  <c r="F73" i="21"/>
  <c r="F29" i="28"/>
  <c r="G29" i="28" s="1"/>
  <c r="G72" i="28"/>
  <c r="K72" i="28" s="1"/>
  <c r="H68" i="28"/>
  <c r="O74" i="28"/>
  <c r="H74" i="28"/>
  <c r="F24" i="28"/>
  <c r="G69" i="28"/>
  <c r="J69" i="28" s="1"/>
  <c r="K58" i="28"/>
  <c r="J58" i="28"/>
  <c r="K66" i="1"/>
  <c r="N82" i="1"/>
  <c r="J72" i="28"/>
  <c r="K71" i="28"/>
  <c r="O67" i="28"/>
  <c r="K67" i="28"/>
  <c r="O10" i="28"/>
  <c r="K10" i="28"/>
  <c r="J63" i="28"/>
  <c r="C42" i="25"/>
  <c r="C43" i="25" s="1"/>
  <c r="H102" i="28" s="1"/>
  <c r="K78" i="1"/>
  <c r="K70" i="28"/>
  <c r="J71" i="28"/>
  <c r="F74" i="21"/>
  <c r="H67" i="28"/>
  <c r="K64" i="28"/>
  <c r="O64" i="28"/>
  <c r="J64" i="28"/>
  <c r="K33" i="28"/>
  <c r="O33" i="28"/>
  <c r="J33" i="28"/>
  <c r="H71" i="28"/>
  <c r="K41" i="28"/>
  <c r="J41" i="28"/>
  <c r="I95" i="1"/>
  <c r="I97" i="1" s="1"/>
  <c r="O65" i="28"/>
  <c r="H65" i="28"/>
  <c r="G12" i="28"/>
  <c r="O15" i="28"/>
  <c r="J15" i="28"/>
  <c r="K15" i="28"/>
  <c r="H69" i="28"/>
  <c r="H85" i="28"/>
  <c r="O85" i="28"/>
  <c r="J85" i="28"/>
  <c r="H86" i="28"/>
  <c r="J86" i="28"/>
  <c r="K86" i="28"/>
  <c r="O87" i="28"/>
  <c r="J23" i="28"/>
  <c r="K23" i="28"/>
  <c r="H23" i="28"/>
  <c r="O23" i="28"/>
  <c r="F51" i="28"/>
  <c r="F56" i="28" s="1"/>
  <c r="G51" i="28"/>
  <c r="K44" i="1"/>
  <c r="J81" i="28"/>
  <c r="K81" i="28"/>
  <c r="N85" i="1"/>
  <c r="N47" i="1"/>
  <c r="K66" i="28"/>
  <c r="J66" i="28"/>
  <c r="F75" i="28"/>
  <c r="G75" i="28" s="1"/>
  <c r="F30" i="25"/>
  <c r="G30" i="25" s="1"/>
  <c r="H30" i="25" s="1"/>
  <c r="K68" i="1"/>
  <c r="J70" i="28"/>
  <c r="H25" i="25"/>
  <c r="F43" i="28"/>
  <c r="G42" i="28"/>
  <c r="G50" i="28"/>
  <c r="F16" i="28"/>
  <c r="G16" i="28" s="1"/>
  <c r="L90" i="28"/>
  <c r="H101" i="28" s="1"/>
  <c r="O55" i="28"/>
  <c r="H55" i="28"/>
  <c r="J55" i="28"/>
  <c r="M64" i="9"/>
  <c r="M76" i="9"/>
  <c r="M50" i="9"/>
  <c r="H14" i="28"/>
  <c r="J14" i="28"/>
  <c r="J28" i="28"/>
  <c r="K28" i="28"/>
  <c r="H32" i="28"/>
  <c r="H34" i="28" s="1"/>
  <c r="K32" i="28"/>
  <c r="J32" i="28"/>
  <c r="M90" i="28"/>
  <c r="G7" i="28"/>
  <c r="F13" i="28"/>
  <c r="G13" i="28" s="1"/>
  <c r="G37" i="28"/>
  <c r="N40" i="1"/>
  <c r="K16" i="1" l="1"/>
  <c r="N16" i="1" s="1"/>
  <c r="G18" i="1"/>
  <c r="K18" i="1" s="1"/>
  <c r="N18" i="1" s="1"/>
  <c r="K36" i="1"/>
  <c r="H24" i="28"/>
  <c r="K69" i="28"/>
  <c r="M99" i="21"/>
  <c r="O69" i="28"/>
  <c r="H87" i="28"/>
  <c r="K63" i="28"/>
  <c r="H63" i="28"/>
  <c r="J53" i="28"/>
  <c r="K53" i="28"/>
  <c r="H53" i="28"/>
  <c r="O53" i="28"/>
  <c r="K87" i="28"/>
  <c r="F30" i="28"/>
  <c r="O11" i="28"/>
  <c r="J11" i="28"/>
  <c r="K11" i="28"/>
  <c r="H11" i="28"/>
  <c r="G45" i="28"/>
  <c r="O29" i="28"/>
  <c r="J29" i="28"/>
  <c r="K29" i="28"/>
  <c r="H29" i="28"/>
  <c r="H72" i="28"/>
  <c r="H93" i="28"/>
  <c r="H19" i="25"/>
  <c r="I15" i="25"/>
  <c r="I19" i="25" s="1"/>
  <c r="O72" i="28"/>
  <c r="G27" i="28"/>
  <c r="O16" i="28"/>
  <c r="K16" i="28"/>
  <c r="J16" i="28"/>
  <c r="H16" i="28"/>
  <c r="J13" i="28"/>
  <c r="H13" i="28"/>
  <c r="O13" i="28"/>
  <c r="K13" i="28"/>
  <c r="F18" i="28"/>
  <c r="J75" i="28"/>
  <c r="H75" i="28"/>
  <c r="O75" i="28"/>
  <c r="K75" i="28"/>
  <c r="H92" i="28"/>
  <c r="H94" i="28" s="1"/>
  <c r="J51" i="28"/>
  <c r="K51" i="28"/>
  <c r="H51" i="28"/>
  <c r="H42" i="28"/>
  <c r="H43" i="28" s="1"/>
  <c r="K42" i="28"/>
  <c r="O42" i="28"/>
  <c r="J42" i="28"/>
  <c r="I30" i="25"/>
  <c r="I32" i="25" s="1"/>
  <c r="H32" i="25"/>
  <c r="K32" i="1"/>
  <c r="K53" i="1"/>
  <c r="K57" i="1"/>
  <c r="N66" i="1"/>
  <c r="K79" i="1"/>
  <c r="N68" i="1"/>
  <c r="H88" i="28"/>
  <c r="H12" i="28"/>
  <c r="J12" i="28"/>
  <c r="O12" i="28"/>
  <c r="K12" i="28"/>
  <c r="G79" i="1"/>
  <c r="O7" i="28"/>
  <c r="H7" i="28"/>
  <c r="K7" i="28"/>
  <c r="H37" i="28"/>
  <c r="H38" i="28" s="1"/>
  <c r="J37" i="28"/>
  <c r="O37" i="28"/>
  <c r="K37" i="28"/>
  <c r="H50" i="28"/>
  <c r="O50" i="28"/>
  <c r="J50" i="28"/>
  <c r="K50" i="28"/>
  <c r="N78" i="1"/>
  <c r="K42" i="1"/>
  <c r="N36" i="1"/>
  <c r="I33" i="25" l="1"/>
  <c r="H78" i="28"/>
  <c r="H45" i="28"/>
  <c r="H47" i="28" s="1"/>
  <c r="J45" i="28"/>
  <c r="K45" i="28"/>
  <c r="H27" i="28"/>
  <c r="H30" i="28" s="1"/>
  <c r="K27" i="28"/>
  <c r="O27" i="28"/>
  <c r="O90" i="28" s="1"/>
  <c r="H104" i="28" s="1"/>
  <c r="J27" i="28"/>
  <c r="H33" i="25"/>
  <c r="K90" i="28"/>
  <c r="H99" i="28" s="1"/>
  <c r="H18" i="28"/>
  <c r="N57" i="1"/>
  <c r="G13" i="1"/>
  <c r="G99" i="1" s="1"/>
  <c r="K8" i="1"/>
  <c r="N8" i="1" s="1"/>
  <c r="H56" i="28"/>
  <c r="K31" i="1"/>
  <c r="K62" i="1"/>
  <c r="N53" i="1"/>
  <c r="G62" i="1"/>
  <c r="H61" i="28" l="1"/>
  <c r="K84" i="1"/>
  <c r="K93" i="1" s="1"/>
  <c r="J90" i="28"/>
  <c r="H98" i="28" s="1"/>
  <c r="K26" i="1"/>
  <c r="K27" i="1"/>
  <c r="K25" i="1"/>
  <c r="K29" i="1"/>
  <c r="K30" i="1"/>
  <c r="H90" i="28"/>
  <c r="K28" i="1"/>
  <c r="K99" i="1"/>
  <c r="K13" i="1"/>
  <c r="G21" i="1"/>
  <c r="K21" i="1" s="1"/>
  <c r="G93" i="1" l="1"/>
  <c r="K48" i="1"/>
  <c r="M48" i="1" s="1"/>
  <c r="G50" i="1"/>
  <c r="N26" i="1"/>
  <c r="M26" i="1"/>
  <c r="M71" i="1"/>
  <c r="M56" i="1"/>
  <c r="N13" i="1"/>
  <c r="M92" i="1"/>
  <c r="M86" i="1"/>
  <c r="M88" i="1"/>
  <c r="M87" i="1"/>
  <c r="M45" i="1"/>
  <c r="M49" i="1"/>
  <c r="M67" i="1"/>
  <c r="M91" i="1"/>
  <c r="M69" i="1"/>
  <c r="M59" i="1"/>
  <c r="M60" i="1"/>
  <c r="M54" i="1"/>
  <c r="M90" i="1"/>
  <c r="M58" i="1"/>
  <c r="M89" i="1"/>
  <c r="M46" i="1"/>
  <c r="M82" i="1"/>
  <c r="M65" i="1"/>
  <c r="M47" i="1"/>
  <c r="M73" i="1"/>
  <c r="M85" i="1"/>
  <c r="M70" i="1"/>
  <c r="M55" i="1"/>
  <c r="M40" i="1"/>
  <c r="M36" i="1"/>
  <c r="M68" i="1"/>
  <c r="M78" i="1"/>
  <c r="M66" i="1"/>
  <c r="M79" i="1"/>
  <c r="M57" i="1"/>
  <c r="M53" i="1"/>
  <c r="G33" i="1"/>
  <c r="M93" i="1"/>
  <c r="N21" i="1"/>
  <c r="M28" i="1"/>
  <c r="N28" i="1"/>
  <c r="N30" i="1"/>
  <c r="M30" i="1"/>
  <c r="N25" i="1"/>
  <c r="M25" i="1"/>
  <c r="K33" i="1"/>
  <c r="H100" i="28"/>
  <c r="H109" i="28" s="1"/>
  <c r="Q90" i="28"/>
  <c r="H95" i="28"/>
  <c r="M29" i="1"/>
  <c r="N29" i="1"/>
  <c r="M62" i="1"/>
  <c r="M27" i="1"/>
  <c r="N27" i="1"/>
  <c r="H110" i="28" l="1"/>
  <c r="N48" i="1"/>
  <c r="K50" i="1"/>
  <c r="M50" i="1" s="1"/>
  <c r="K34" i="1" l="1"/>
  <c r="G35" i="1"/>
  <c r="G37" i="1" s="1"/>
  <c r="G95" i="1" l="1"/>
  <c r="G97" i="1" s="1"/>
  <c r="G100" i="1" s="1"/>
  <c r="K35" i="1"/>
  <c r="K37" i="1" s="1"/>
  <c r="M34" i="1"/>
  <c r="N34" i="1"/>
  <c r="K95" i="1" l="1"/>
  <c r="M37" i="1"/>
  <c r="M95" i="1" l="1"/>
  <c r="K97" i="1"/>
  <c r="K100" i="1" l="1"/>
  <c r="M97" i="1"/>
</calcChain>
</file>

<file path=xl/sharedStrings.xml><?xml version="1.0" encoding="utf-8"?>
<sst xmlns="http://schemas.openxmlformats.org/spreadsheetml/2006/main" count="628" uniqueCount="459">
  <si>
    <t>EARLY CHILDHOOD ACADEMY, PCS</t>
  </si>
  <si>
    <t>BUDGET YEAR: 2019-2020</t>
  </si>
  <si>
    <t>DESCRIPTION</t>
  </si>
  <si>
    <t>BUDGETED AMOUNTS</t>
  </si>
  <si>
    <t>Column A</t>
  </si>
  <si>
    <t>Column B</t>
  </si>
  <si>
    <t>Column C</t>
  </si>
  <si>
    <t>Column D</t>
  </si>
  <si>
    <t>REVENUES</t>
  </si>
  <si>
    <t>501(c)3           School Applicant</t>
  </si>
  <si>
    <t>Education Management Organization</t>
  </si>
  <si>
    <t>Total Revenues by Funding Source</t>
  </si>
  <si>
    <t>Expenditures as a Percent of Total Public Funding</t>
  </si>
  <si>
    <t>Mthly</t>
  </si>
  <si>
    <t>Per Pupil Charter Payments</t>
  </si>
  <si>
    <t>Per Pupil Facilities Allowance</t>
  </si>
  <si>
    <t xml:space="preserve">Federal Entitlements </t>
  </si>
  <si>
    <t>Federal Entitlements-NSLP</t>
  </si>
  <si>
    <t>Other Govt Funding/Grants</t>
  </si>
  <si>
    <t>Total Public Funding</t>
  </si>
  <si>
    <t>Private Grants and Donations</t>
  </si>
  <si>
    <t>Activity Fees (Summer School Co-pays)</t>
  </si>
  <si>
    <t>Other Income (Before and After Care Income)</t>
  </si>
  <si>
    <t>Other Income (Grants, Interest, Fundraising &amp; Misc.)</t>
  </si>
  <si>
    <t>Total Non-Public Funding</t>
  </si>
  <si>
    <t>EMO Management Fee (= line 73, col. G)</t>
  </si>
  <si>
    <t>TOTAL REVENUES</t>
  </si>
  <si>
    <t>EXPENSES</t>
  </si>
  <si>
    <t>Combined Total</t>
  </si>
  <si>
    <t>Personnel Salaries and Benefits</t>
  </si>
  <si>
    <t>Executives Salary (Principal &amp; V. Principal)</t>
  </si>
  <si>
    <t>Administrative Salaries</t>
  </si>
  <si>
    <t>Teachers Salaries</t>
  </si>
  <si>
    <t>Teacher Aides/Assistance Salaries</t>
  </si>
  <si>
    <t>Custodial Salaries</t>
  </si>
  <si>
    <t>Food Staff Salaries</t>
  </si>
  <si>
    <t>Before &amp; After Care Salaries</t>
  </si>
  <si>
    <t>Summer School Salaries</t>
  </si>
  <si>
    <t xml:space="preserve">     Subtotal Salaries</t>
  </si>
  <si>
    <t>Employee Benefits</t>
  </si>
  <si>
    <t xml:space="preserve">     Total Salaries &amp; Benefits</t>
  </si>
  <si>
    <t>Staff Development Costs</t>
  </si>
  <si>
    <t>Subtotal: Personnel Costs</t>
  </si>
  <si>
    <t>Direct Student Costs</t>
  </si>
  <si>
    <t>Textbooks</t>
  </si>
  <si>
    <t>Classroom Materials, Supplies &amp; Consumables</t>
  </si>
  <si>
    <t>Computers, Materials &amp; Technology</t>
  </si>
  <si>
    <t>Other Instructional Equipment</t>
  </si>
  <si>
    <t>Classroom Furnishings</t>
  </si>
  <si>
    <t>Student Assessment Materials</t>
  </si>
  <si>
    <t>Student Field Trips &amp; Other Student Costs</t>
  </si>
  <si>
    <t>Food Service (Subsidized by NSLP Grant)</t>
  </si>
  <si>
    <t>Contracted Student Services</t>
  </si>
  <si>
    <t>Other: Grant Expenses</t>
  </si>
  <si>
    <t>Subtotal: Direct Student Costs</t>
  </si>
  <si>
    <t>Occupancy Expenses</t>
  </si>
  <si>
    <t>Rent</t>
  </si>
  <si>
    <t>E-rate Grant Expense</t>
  </si>
  <si>
    <t>Building Maintenance and Repairs</t>
  </si>
  <si>
    <t>Renovation/Leasehold Improvements</t>
  </si>
  <si>
    <t>Utilities</t>
  </si>
  <si>
    <t>Janitorial Supplies</t>
  </si>
  <si>
    <t>Equipment Rental and Maintenance</t>
  </si>
  <si>
    <t>Contracted Building Services</t>
  </si>
  <si>
    <t>Interest Expense on Loan</t>
  </si>
  <si>
    <t>Subtotal: Occupancy Expenses</t>
  </si>
  <si>
    <t>Office Expenses</t>
  </si>
  <si>
    <t>Office Supplies and Materials</t>
  </si>
  <si>
    <t>Office Furnishings and Equipment</t>
  </si>
  <si>
    <t>Office Equipment Rental and Maintenance</t>
  </si>
  <si>
    <t>Telephone/Telecommunications (See Occupancy)</t>
  </si>
  <si>
    <t>Printing and Copying</t>
  </si>
  <si>
    <t>Postage and Shipping</t>
  </si>
  <si>
    <t>Advertising &amp; Recruiting</t>
  </si>
  <si>
    <t>Retirement &amp; Flex Fees</t>
  </si>
  <si>
    <t>Bank Services &amp; Other Charges</t>
  </si>
  <si>
    <t>Business licenses &amp; Fees</t>
  </si>
  <si>
    <t>Financial Audit</t>
  </si>
  <si>
    <t>Legal, Accounting and Payroll Services</t>
  </si>
  <si>
    <t>Operating Copier Lease</t>
  </si>
  <si>
    <t>Other Office Expenses</t>
  </si>
  <si>
    <t>Subtotal: Office Expenses</t>
  </si>
  <si>
    <t>General Expenses</t>
  </si>
  <si>
    <t>Insurance</t>
  </si>
  <si>
    <t>Transportation</t>
  </si>
  <si>
    <t>Administration Fee (to PCSB)</t>
  </si>
  <si>
    <t>Meetings &amp; General</t>
  </si>
  <si>
    <t>Dues &amp; Subscriptions</t>
  </si>
  <si>
    <t>Depreciation &amp; Amortization</t>
  </si>
  <si>
    <t>Contributions &amp; Donations</t>
  </si>
  <si>
    <t>Interest &amp; Finance Charges</t>
  </si>
  <si>
    <t>Fundraising Expenses</t>
  </si>
  <si>
    <t>Marketing &amp; Promotion</t>
  </si>
  <si>
    <t>Temporary Help</t>
  </si>
  <si>
    <t>Subtotal: General Expenses</t>
  </si>
  <si>
    <t>TOTAL EXPENSES</t>
  </si>
  <si>
    <t>CHANGES IN NET ASSETS</t>
  </si>
  <si>
    <t>Restricted for Facility Procurement (0% of Public Funding)</t>
  </si>
  <si>
    <t>Balance as Unrestriced</t>
  </si>
  <si>
    <t>Monthly</t>
  </si>
  <si>
    <t>ECA</t>
  </si>
  <si>
    <t>A</t>
  </si>
  <si>
    <t>Other</t>
  </si>
  <si>
    <t>Notes and assumptions:</t>
  </si>
  <si>
    <t>Total</t>
  </si>
  <si>
    <t>2011-2012 Budget</t>
  </si>
  <si>
    <t>Health Care Budget</t>
  </si>
  <si>
    <t>Employee</t>
  </si>
  <si>
    <t>Employer</t>
  </si>
  <si>
    <t>#</t>
  </si>
  <si>
    <t>Positions</t>
  </si>
  <si>
    <t>BCBS Now</t>
  </si>
  <si>
    <t>Contribution</t>
  </si>
  <si>
    <t>Administration:</t>
  </si>
  <si>
    <t>Principal</t>
  </si>
  <si>
    <t>Wendy Edwards</t>
  </si>
  <si>
    <t>Vice Principal</t>
  </si>
  <si>
    <t>Thann Ingraham</t>
  </si>
  <si>
    <t>Program Administrator</t>
  </si>
  <si>
    <t>Admin/Executive Assistant</t>
  </si>
  <si>
    <t>Gaines</t>
  </si>
  <si>
    <t>Administrative Assistant</t>
  </si>
  <si>
    <t>Simon</t>
  </si>
  <si>
    <t>IT Manager</t>
  </si>
  <si>
    <t>Smith</t>
  </si>
  <si>
    <t>Total Admin Staff:</t>
  </si>
  <si>
    <t>Teaching Staff:</t>
  </si>
  <si>
    <t>Preschool Teacher 1</t>
  </si>
  <si>
    <t>Waters</t>
  </si>
  <si>
    <t>Preschool Teacher 2</t>
  </si>
  <si>
    <t>Myers</t>
  </si>
  <si>
    <t>Total Preschool Teachers</t>
  </si>
  <si>
    <t>Prekindergarten Teacher 1</t>
  </si>
  <si>
    <t>DiNino</t>
  </si>
  <si>
    <t>Prekindergarten Teacher 2</t>
  </si>
  <si>
    <t>Blassingame</t>
  </si>
  <si>
    <t>Total PreK Teachers</t>
  </si>
  <si>
    <t>Kindergarten Teacher 1</t>
  </si>
  <si>
    <t>Strawbridge</t>
  </si>
  <si>
    <t>Kindergarten Teacher 2</t>
  </si>
  <si>
    <t>Nixon</t>
  </si>
  <si>
    <t>Total K Teachers</t>
  </si>
  <si>
    <t>Grade One Teacher 1</t>
  </si>
  <si>
    <t>Edwards</t>
  </si>
  <si>
    <t>Grade One Teacher 2</t>
  </si>
  <si>
    <t>Yousif</t>
  </si>
  <si>
    <t>Total Grade One Teachers</t>
  </si>
  <si>
    <t>Grade Two Teacher 1</t>
  </si>
  <si>
    <t>Lockett</t>
  </si>
  <si>
    <t>Grade Two Teacher 2</t>
  </si>
  <si>
    <t>Glenn</t>
  </si>
  <si>
    <t>Campbell</t>
  </si>
  <si>
    <t>Jones</t>
  </si>
  <si>
    <t>Other Teachers:</t>
  </si>
  <si>
    <t>Music Teacher</t>
  </si>
  <si>
    <t>Battle</t>
  </si>
  <si>
    <t>Special ED Teacher/Coordinator</t>
  </si>
  <si>
    <t>Schultz</t>
  </si>
  <si>
    <t>Special ED Teacher</t>
  </si>
  <si>
    <t>Dove</t>
  </si>
  <si>
    <t>Master Teacher/ Literacy</t>
  </si>
  <si>
    <t>Faulcon</t>
  </si>
  <si>
    <t>Dyett</t>
  </si>
  <si>
    <t>Vacant</t>
  </si>
  <si>
    <t>Total Other Teachers</t>
  </si>
  <si>
    <t>Total Teachers</t>
  </si>
  <si>
    <t>Teacher Assistant 1</t>
  </si>
  <si>
    <t>McCollough</t>
  </si>
  <si>
    <t>Teacher Assistant 2</t>
  </si>
  <si>
    <t>Drake</t>
  </si>
  <si>
    <t xml:space="preserve">Teacher Assistant 3 </t>
  </si>
  <si>
    <t>Patrick</t>
  </si>
  <si>
    <t>Teacher Assistant 4</t>
  </si>
  <si>
    <t>D'Abreu</t>
  </si>
  <si>
    <t>Teacher Assistant 5</t>
  </si>
  <si>
    <t>Gopee</t>
  </si>
  <si>
    <t>Teacher Assistant 6</t>
  </si>
  <si>
    <t>Wiggins</t>
  </si>
  <si>
    <t>Teacher Assistant 7</t>
  </si>
  <si>
    <t>Teacher Assistant 8</t>
  </si>
  <si>
    <t>Morgan</t>
  </si>
  <si>
    <t>Teacher Assistant 9</t>
  </si>
  <si>
    <t>Prince</t>
  </si>
  <si>
    <t>Teacher Assistant 10</t>
  </si>
  <si>
    <t>Total Teacher Assistants</t>
  </si>
  <si>
    <t>Custodian</t>
  </si>
  <si>
    <t>Walker</t>
  </si>
  <si>
    <t>Food Service Worker 1</t>
  </si>
  <si>
    <t>Johnson</t>
  </si>
  <si>
    <t>Food Service Worker 2</t>
  </si>
  <si>
    <t>Torrence</t>
  </si>
  <si>
    <t>Food Service Worker 3</t>
  </si>
  <si>
    <t>Crawley</t>
  </si>
  <si>
    <t>Total Food Service Workers</t>
  </si>
  <si>
    <t xml:space="preserve">Total Health &amp; Dental </t>
  </si>
  <si>
    <t>Monthly:</t>
  </si>
  <si>
    <t>Annually:</t>
  </si>
  <si>
    <t>Contribution %:</t>
  </si>
  <si>
    <t>17% Budgeted Annual:</t>
  </si>
  <si>
    <t>Estimated New Participants:</t>
  </si>
  <si>
    <t>Total Current Year Budget:</t>
  </si>
  <si>
    <t>Budgeted increase in health care is projected at 17% per our Benefits Consultant estimate per market, group size and group age. Budgeted amount is based on actual PY participation plus the assumption that the vacant positions will participate in the Health &amp; Dental plan at the HMO family rate.</t>
  </si>
  <si>
    <t>Bill</t>
  </si>
  <si>
    <t>EE</t>
  </si>
  <si>
    <t>ER</t>
  </si>
  <si>
    <t>Personnel Expenses</t>
  </si>
  <si>
    <t>FSA</t>
  </si>
  <si>
    <t>Position Total</t>
  </si>
  <si>
    <t>Fica</t>
  </si>
  <si>
    <t>Mcare</t>
  </si>
  <si>
    <t>Suta</t>
  </si>
  <si>
    <t>Health ER</t>
  </si>
  <si>
    <t>Life &amp; LTD</t>
  </si>
  <si>
    <t>Retiremt</t>
  </si>
  <si>
    <t>Executive Director</t>
  </si>
  <si>
    <t>Dir. Curriculum &amp; Instruction Coach</t>
  </si>
  <si>
    <t>Edwards, L.</t>
  </si>
  <si>
    <t>Menjivar</t>
  </si>
  <si>
    <t>Maxwell</t>
  </si>
  <si>
    <t>Financial &amp; HR Accountant</t>
  </si>
  <si>
    <t>Financial Manager</t>
  </si>
  <si>
    <t>Foster</t>
  </si>
  <si>
    <t>Instructional Coach</t>
  </si>
  <si>
    <t>Total Adminiatrative Staff:</t>
  </si>
  <si>
    <t>Total Grade Two Teachers</t>
  </si>
  <si>
    <t>Grade Three Teacher 1</t>
  </si>
  <si>
    <t>Lewis</t>
  </si>
  <si>
    <t>Total Grade Three Teachers</t>
  </si>
  <si>
    <t>Other Teachers (Music &amp; Sped):</t>
  </si>
  <si>
    <t>PE Teacher</t>
  </si>
  <si>
    <t>Open</t>
  </si>
  <si>
    <t>Dailey</t>
  </si>
  <si>
    <t>Total Substitute Teachers</t>
  </si>
  <si>
    <t>Total Custodian</t>
  </si>
  <si>
    <t>Total Salaries before Programs</t>
  </si>
  <si>
    <t>Programs Salaries:</t>
  </si>
  <si>
    <t>Before and After Care Salaries</t>
  </si>
  <si>
    <t>Total Salaries with Programs</t>
  </si>
  <si>
    <t>Assumptions:</t>
  </si>
  <si>
    <t>6.2% of Gross Salary; Social security salary ceiling remains</t>
  </si>
  <si>
    <t>Medicare</t>
  </si>
  <si>
    <t>Futa</t>
  </si>
  <si>
    <t>Exempt as 501c3</t>
  </si>
  <si>
    <t>Health Insurance</t>
  </si>
  <si>
    <t>Life, STD &amp; LTD</t>
  </si>
  <si>
    <t>Retirement 403b Match</t>
  </si>
  <si>
    <t>Workers Compensation</t>
  </si>
  <si>
    <t>Retirement &amp; FSA Plan Fees</t>
  </si>
  <si>
    <t>Tuition Reimbursement Program</t>
  </si>
  <si>
    <t>Other Benefits</t>
  </si>
  <si>
    <t>Total Employee Benefits w/ Programs</t>
  </si>
  <si>
    <t>Total Salaries plus Benefits:</t>
  </si>
  <si>
    <t>Notes &amp; Assumptions:</t>
  </si>
  <si>
    <t>(H)  Monthly fee of $156 for 17 participants, plus renewal and trustee fees.</t>
  </si>
  <si>
    <t>(I)   No tuition reimbursement expenses for this budget year.</t>
  </si>
  <si>
    <t>2014-2015 Budget</t>
  </si>
  <si>
    <t>13-14 Salary</t>
  </si>
  <si>
    <t>14-15 Increase</t>
  </si>
  <si>
    <t>14-15 Salary</t>
  </si>
  <si>
    <t>Alphonso</t>
  </si>
  <si>
    <t>Attendance Coordinator</t>
  </si>
  <si>
    <t>Mayfield</t>
  </si>
  <si>
    <t>Scott</t>
  </si>
  <si>
    <t>Base Salary = 50000</t>
  </si>
  <si>
    <t>Mccollough (8%)</t>
  </si>
  <si>
    <t>Preschool Teacher 3</t>
  </si>
  <si>
    <t>Blassingame\V</t>
  </si>
  <si>
    <t>Cook (11%)</t>
  </si>
  <si>
    <t>Prekindergarten Teacher 3</t>
  </si>
  <si>
    <t>Koslov\V</t>
  </si>
  <si>
    <t>New</t>
  </si>
  <si>
    <t>Huddleston</t>
  </si>
  <si>
    <t>N</t>
  </si>
  <si>
    <t>Leinbach (8%)</t>
  </si>
  <si>
    <t>Thompson\V</t>
  </si>
  <si>
    <t>Allen\V</t>
  </si>
  <si>
    <t>Lindo</t>
  </si>
  <si>
    <t>Staton\V</t>
  </si>
  <si>
    <t>Grade Three Teacher 2</t>
  </si>
  <si>
    <t>Trasada</t>
  </si>
  <si>
    <t>PT Nurse</t>
  </si>
  <si>
    <t>Devalve (11%)</t>
  </si>
  <si>
    <t>Nwude (11%)</t>
  </si>
  <si>
    <t>Substitute Teachers ($18.00 ph)</t>
  </si>
  <si>
    <t>Teacher Assistant 1-PreS (McCollough)</t>
  </si>
  <si>
    <t>Thomas</t>
  </si>
  <si>
    <t>Teacher Assistant 2-PreS (Lewis)</t>
  </si>
  <si>
    <t>Teacher Assistant 3-PreS (Myers)</t>
  </si>
  <si>
    <t>Bailey</t>
  </si>
  <si>
    <t>Teacher Assistant 4-PreK (Blassingame)</t>
  </si>
  <si>
    <t>Lewis, L.</t>
  </si>
  <si>
    <t>Teacher Assistant 5-PreK (Cook)</t>
  </si>
  <si>
    <t>Teacher Assistant 6-PreK (Nixon)</t>
  </si>
  <si>
    <t>Holland</t>
  </si>
  <si>
    <t>Teacher Assistant 7-K (Koslov)</t>
  </si>
  <si>
    <t>Hazel, G.</t>
  </si>
  <si>
    <t>Teacher Assistant 8-K (Huddleston)</t>
  </si>
  <si>
    <t>McGill</t>
  </si>
  <si>
    <t>Teacher Assistant 9-1st (Leinbach)</t>
  </si>
  <si>
    <t>Calhoun</t>
  </si>
  <si>
    <t>Teacher Assistant 10-1st (Thompson)</t>
  </si>
  <si>
    <t>Muhammed\Fisher</t>
  </si>
  <si>
    <t>Teacher Assistant 11-2nd (Allen)</t>
  </si>
  <si>
    <t>Peterson-Prince</t>
  </si>
  <si>
    <t>Teacher Assistant 11-2nd (Lindo)</t>
  </si>
  <si>
    <t>Teacher Assistant 12-3rd (Staton)</t>
  </si>
  <si>
    <t>Shannon</t>
  </si>
  <si>
    <t>Teacher Assistant 13-3rd (Fisher)</t>
  </si>
  <si>
    <t>3 New Teacher Project</t>
  </si>
  <si>
    <t>Food Service Worker 1 (PY $13.50ph; CY $14.00)</t>
  </si>
  <si>
    <t>Food Service Worker 2 (PY $13.50ph; CY $14.00)</t>
  </si>
  <si>
    <t>Food Service Worker 3 (PY $14.50ph; CY $15.00)</t>
  </si>
  <si>
    <t>$106,800. 1.45% of Gross Salary, no medicare salary ceilings</t>
  </si>
  <si>
    <t>Exempt</t>
  </si>
  <si>
    <t>Based on a 4.2% SUI tax rate and a taxable wage base of $9,000</t>
  </si>
  <si>
    <t>To Office Expense</t>
  </si>
  <si>
    <t>Not available this year</t>
  </si>
  <si>
    <t>Misc</t>
  </si>
  <si>
    <t>Incentives, awards, staff meetings, etc. for staff</t>
  </si>
  <si>
    <t>(A)  Overall salaries increased by 3%. To receive the maximum increase an employee has to meet or exceed in evaluation criteria. TA were increased by 10% to be more comparable with current market rates in prior year and this budget year their salaries are increased by 3%. Increases budgeted for Principal &amp; Vice Principal at the same rate of 3% as overall salaries.</t>
  </si>
  <si>
    <t xml:space="preserve">(B)  Increases in salaries for ED/Prinicipal and Vice Principal is 3% over prior year. </t>
  </si>
  <si>
    <t>(C)  Promotion and increased work load for some positions coupled with bringing these positions comparable to market rates, warranted a higher increase of 5%. These positions were RTI and IT Manager.</t>
  </si>
  <si>
    <t>(D)  403b Retirement plan is discretionary and remained at a 5% match, which is the same as prior year.</t>
  </si>
  <si>
    <t>(E)  A 12% increase in actual rates is budgeted for, this is based on the best data from our Benefits Consulting Firm.</t>
  </si>
  <si>
    <t xml:space="preserve">(F)  Estimated life ins. at $50k ceiling for all employees except substitute teachers; budget includes STD, LTD &amp; Life benefits. </t>
  </si>
  <si>
    <t>(G)   Estimated Match at 5% for eligible vested employees; assumption is that not all employees will participate, currently there is 70% participation so we budget for 70%.</t>
  </si>
  <si>
    <t>Qty</t>
  </si>
  <si>
    <t>Food Service</t>
  </si>
  <si>
    <t>Food</t>
  </si>
  <si>
    <t>Supplies</t>
  </si>
  <si>
    <t>Other Trip Costs</t>
  </si>
  <si>
    <t>Rate</t>
  </si>
  <si>
    <t>Assumptions</t>
  </si>
  <si>
    <t>2009-2010 Budget</t>
  </si>
  <si>
    <t>Technology Costs</t>
  </si>
  <si>
    <t>Item</t>
  </si>
  <si>
    <t>Unit Cost</t>
  </si>
  <si>
    <t>Total $</t>
  </si>
  <si>
    <t>Dell Optiplex desktop computer systems including software and monitors</t>
  </si>
  <si>
    <t>4 of these machines will be for the new classrooms and the other 2 will replace the VPs machine and 1 in the office</t>
  </si>
  <si>
    <t>HP LaserJet duplex, network printers with service agreements</t>
  </si>
  <si>
    <t>These printers will go in the new office space</t>
  </si>
  <si>
    <t>Netgear JGS524 24 port gigabyte switch</t>
  </si>
  <si>
    <t>One of these will be for the new office space and one will be kept on hand as a replacement.</t>
  </si>
  <si>
    <t>IP telephones</t>
  </si>
  <si>
    <t>These phones will be for the new classrooms and offices</t>
  </si>
  <si>
    <t>Service agreement renewals for:  
Double Eagle
Acronis software
PayClock
RedBeam Asset Tracking
QuickBooks</t>
  </si>
  <si>
    <t>This is the approximate renewal cost of the softwares</t>
  </si>
  <si>
    <t>Website modifications, hosting charges and secure certificate renewals</t>
  </si>
  <si>
    <t>Cable infrastructure additions</t>
  </si>
  <si>
    <t xml:space="preserve">Price includes complete new cable plant  in new location for telephones and computers.  </t>
  </si>
  <si>
    <t>Miscellaneous repairs and software</t>
  </si>
  <si>
    <t>Supplies including printer toner and ink, patch cables, surge protectors, CDs and DVDs, etc.</t>
  </si>
  <si>
    <t>Computer desks and chairs</t>
  </si>
  <si>
    <t>For new 3rd Grade Classrooms</t>
  </si>
  <si>
    <t>Total Technology Costs</t>
  </si>
  <si>
    <t>Annually</t>
  </si>
  <si>
    <t>DRAFT (Version 3)</t>
  </si>
  <si>
    <t>Budget for Before &amp; After Care</t>
  </si>
  <si>
    <t>Year 2006-2007</t>
  </si>
  <si>
    <t>Title 1 Funds</t>
  </si>
  <si>
    <t>Hrs</t>
  </si>
  <si>
    <t># of</t>
  </si>
  <si>
    <t xml:space="preserve">Hourly </t>
  </si>
  <si>
    <t>Staff</t>
  </si>
  <si>
    <t>Per day</t>
  </si>
  <si>
    <t>Total Hrs</t>
  </si>
  <si>
    <t>Days</t>
  </si>
  <si>
    <t>Salaries:</t>
  </si>
  <si>
    <t>Regular</t>
  </si>
  <si>
    <t>Lead</t>
  </si>
  <si>
    <t>Admin</t>
  </si>
  <si>
    <t>FB</t>
  </si>
  <si>
    <t>($100 per week for 17 weeks)</t>
  </si>
  <si>
    <t>Spring Trips:</t>
  </si>
  <si>
    <t>Transportation 3 trips</t>
  </si>
  <si>
    <t>Other Costs</t>
  </si>
  <si>
    <t>Total Budgeted Cost</t>
  </si>
  <si>
    <t>Cost per day</t>
  </si>
  <si>
    <t>Number of children</t>
  </si>
  <si>
    <t>Total Cost per child</t>
  </si>
  <si>
    <t>% to Parent</t>
  </si>
  <si>
    <t>Expense</t>
  </si>
  <si>
    <t>Federal Entitlements</t>
  </si>
  <si>
    <t>Other Government Funding/Grants</t>
  </si>
  <si>
    <t>Activity Fees</t>
  </si>
  <si>
    <t>Loans</t>
  </si>
  <si>
    <t>Other Income (please describe in footnote)</t>
  </si>
  <si>
    <t>Principal/Executive Salary</t>
  </si>
  <si>
    <t>Other Education Professionals Salaries</t>
  </si>
  <si>
    <t>Business/Operations Salaries</t>
  </si>
  <si>
    <t>Clerical Salaries</t>
  </si>
  <si>
    <t>Other Staff Salaries</t>
  </si>
  <si>
    <t xml:space="preserve">Contracted Staff </t>
  </si>
  <si>
    <t>Student Supplies and Materials</t>
  </si>
  <si>
    <t>Library and Media Center Materials</t>
  </si>
  <si>
    <t>Computers and Materials</t>
  </si>
  <si>
    <t>Classroom Furnishings and Supplies</t>
  </si>
  <si>
    <t>Miscellaneous Student Costs</t>
  </si>
  <si>
    <t>Mortgage Principal Payments</t>
  </si>
  <si>
    <t>Mortgage Interest Payments</t>
  </si>
  <si>
    <t>Telephone/Telecommunications</t>
  </si>
  <si>
    <t>Interest Expense</t>
  </si>
  <si>
    <t>EMO Management Fee</t>
  </si>
  <si>
    <t>Other General Expense</t>
  </si>
  <si>
    <t>EXCESS (OR DEFICIENCY)</t>
  </si>
  <si>
    <t>Excess (or deficit) retained by school</t>
  </si>
  <si>
    <t>Excess (or deficit) retained by EMO</t>
  </si>
  <si>
    <t>ASSUMPTIONS</t>
  </si>
  <si>
    <t>Student Enrollment</t>
  </si>
  <si>
    <t>Facility Size (square footage)</t>
  </si>
  <si>
    <t>Average Teacher Salary</t>
  </si>
  <si>
    <t>Student/Teacher Ratio</t>
  </si>
  <si>
    <t>Other Major Assumptions</t>
  </si>
  <si>
    <t>NOTES:</t>
  </si>
  <si>
    <t>DRAFT (Version 4)</t>
  </si>
  <si>
    <t>Weekend Reader</t>
  </si>
  <si>
    <t>No Weekend Reader Planned for 2007-2008</t>
  </si>
  <si>
    <t>Total Days</t>
  </si>
  <si>
    <t>($20 per Saturday for 20 weeks)</t>
  </si>
  <si>
    <t>Supplies:</t>
  </si>
  <si>
    <t xml:space="preserve">Toys ($40 per Saturday X 20 weeks) </t>
  </si>
  <si>
    <t>Books</t>
  </si>
  <si>
    <t>Stipends</t>
  </si>
  <si>
    <t>($80 per Saturday X 20 weeks)</t>
  </si>
  <si>
    <t>Trips</t>
  </si>
  <si>
    <t>2016-2017 Budget</t>
  </si>
  <si>
    <t>FB: Health/BCBS</t>
  </si>
  <si>
    <t>Employer's Contribution</t>
  </si>
  <si>
    <t>Employee's Contribution</t>
  </si>
  <si>
    <t>Per person</t>
  </si>
  <si>
    <t>ER Contribution</t>
  </si>
  <si>
    <t>Est'd</t>
  </si>
  <si>
    <t>Annual</t>
  </si>
  <si>
    <t xml:space="preserve">of </t>
  </si>
  <si>
    <t>EE Contribution</t>
  </si>
  <si>
    <t>ER Incr</t>
  </si>
  <si>
    <t>2015-16</t>
  </si>
  <si>
    <t>EEs</t>
  </si>
  <si>
    <t>Cost</t>
  </si>
  <si>
    <t>Budgeted</t>
  </si>
  <si>
    <t>HEALTHY BLUE 2.0</t>
  </si>
  <si>
    <t>Individual (I)</t>
  </si>
  <si>
    <t>Ind &amp; Child (ICH)</t>
  </si>
  <si>
    <t>Ind &amp; Chilren (ICN)</t>
  </si>
  <si>
    <t>Ind &amp; Spouse (IAD)</t>
  </si>
  <si>
    <t>Ind &amp; Family (F)</t>
  </si>
  <si>
    <t>HMO</t>
  </si>
  <si>
    <t>PPO</t>
  </si>
  <si>
    <t>Ind &amp; Children</t>
  </si>
  <si>
    <t>Ind &amp; Spouse</t>
  </si>
  <si>
    <t>Total Eligible EEs</t>
  </si>
  <si>
    <t>Non-participants/Waivers</t>
  </si>
  <si>
    <t>Summary:</t>
  </si>
  <si>
    <t>Current Mthly Bill</t>
  </si>
  <si>
    <t>Increase estimated</t>
  </si>
  <si>
    <t>Increase estimated for premiums and for employee participation.</t>
  </si>
  <si>
    <t>Total budgeted increase</t>
  </si>
  <si>
    <t>ER's portion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</si>
</sst>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 numFmtId="167" formatCode="_(* #,##0.000_);_(* \(#,##0.000\);_(* &quot;-&quot;??_);_(@_)"/>
    <numFmt numFmtId="169" formatCode="_(* #,##0_);_(* \(#,##0\);_(* &quot;-&quot;?_);_(@_)"/>
  </numFmts>
  <fonts count="18" x14ac:knownFonts="1">
    <font>
      <sz val="10"/>
      <name val="Arial"/>
    </font>
    <font>
      <sz val="10"/>
      <name val="Arial"/>
    </font>
    <font>
      <b/>
      <sz val="12"/>
      <name val="Arial"/>
      <family val="2"/>
    </font>
    <font>
      <b/>
      <sz val="10"/>
      <name val="Arial"/>
      <family val="2"/>
    </font>
    <font>
      <b/>
      <i/>
      <sz val="10"/>
      <name val="Arial"/>
      <family val="2"/>
    </font>
    <font>
      <sz val="10"/>
      <name val="Arial"/>
      <family val="2"/>
    </font>
    <font>
      <b/>
      <sz val="14"/>
      <name val="Arial"/>
      <family val="2"/>
    </font>
    <font>
      <b/>
      <u/>
      <sz val="10"/>
      <name val="Arial"/>
      <family val="2"/>
    </font>
    <font>
      <b/>
      <sz val="14"/>
      <color indexed="10"/>
      <name val="Arial"/>
      <family val="2"/>
    </font>
    <font>
      <b/>
      <u val="singleAccounting"/>
      <sz val="10"/>
      <name val="Arial"/>
      <family val="2"/>
    </font>
    <font>
      <sz val="10"/>
      <color indexed="9"/>
      <name val="Arial"/>
      <family val="2"/>
    </font>
    <font>
      <b/>
      <sz val="11"/>
      <name val="Arial"/>
      <family val="2"/>
    </font>
    <font>
      <sz val="10"/>
      <color indexed="17"/>
      <name val="Arial"/>
      <family val="2"/>
    </font>
    <font>
      <b/>
      <sz val="14"/>
      <color indexed="8"/>
      <name val="Calibri"/>
      <family val="2"/>
    </font>
    <font>
      <sz val="8"/>
      <name val="Arial"/>
      <family val="2"/>
    </font>
    <font>
      <sz val="10"/>
      <color theme="0"/>
      <name val="Arial"/>
      <family val="2"/>
    </font>
    <font>
      <sz val="10"/>
      <color rgb="FFFF0000"/>
      <name val="Arial"/>
      <family val="2"/>
    </font>
    <font>
      <sz val="10"/>
      <name val="Times New Roman"/>
      <family val="1"/>
    </font>
  </fonts>
  <fills count="1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xf numFmtId="44" fontId="17" fillId="0" borderId="0" applyFont="0" applyFill="0" applyBorder="0" applyAlignment="0" applyProtection="0"/>
    <xf numFmtId="0" fontId="5" fillId="0" borderId="0"/>
  </cellStyleXfs>
  <cellXfs count="166">
    <xf numFmtId="0" fontId="0" fillId="0" borderId="0" xfId="0"/>
    <xf numFmtId="0" fontId="2" fillId="0" borderId="0" xfId="0" applyFont="1"/>
    <xf numFmtId="0" fontId="0" fillId="2" borderId="0" xfId="0" applyFill="1"/>
    <xf numFmtId="0" fontId="3" fillId="2" borderId="0" xfId="0" applyFont="1" applyFill="1"/>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3" fillId="2" borderId="0" xfId="0" applyFont="1" applyFill="1" applyAlignment="1">
      <alignment horizontal="center"/>
    </xf>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37" fontId="0" fillId="0" borderId="0" xfId="0" applyNumberFormat="1"/>
    <xf numFmtId="37" fontId="0" fillId="2" borderId="0" xfId="0" applyNumberFormat="1" applyFill="1"/>
    <xf numFmtId="37" fontId="0" fillId="0" borderId="0" xfId="0" applyNumberFormat="1" applyBorder="1"/>
    <xf numFmtId="37" fontId="0" fillId="0" borderId="0" xfId="0" applyNumberFormat="1" applyFill="1" applyBorder="1"/>
    <xf numFmtId="0" fontId="3" fillId="0" borderId="0" xfId="0" applyFont="1"/>
    <xf numFmtId="37" fontId="0" fillId="0" borderId="2" xfId="0" applyNumberFormat="1" applyBorder="1"/>
    <xf numFmtId="5" fontId="0" fillId="0" borderId="3" xfId="0" applyNumberFormat="1" applyBorder="1"/>
    <xf numFmtId="5" fontId="0" fillId="0" borderId="0" xfId="0" applyNumberFormat="1" applyBorder="1"/>
    <xf numFmtId="0" fontId="4" fillId="0" borderId="0" xfId="0" applyFont="1"/>
    <xf numFmtId="9" fontId="0" fillId="0" borderId="0" xfId="3" applyFont="1"/>
    <xf numFmtId="5" fontId="0" fillId="0" borderId="0" xfId="0" applyNumberFormat="1"/>
    <xf numFmtId="5" fontId="0" fillId="0" borderId="2" xfId="0" applyNumberFormat="1" applyBorder="1"/>
    <xf numFmtId="3" fontId="0" fillId="0" borderId="0" xfId="0" applyNumberFormat="1"/>
    <xf numFmtId="0" fontId="0" fillId="0" borderId="2" xfId="0" applyBorder="1"/>
    <xf numFmtId="0" fontId="0" fillId="0" borderId="4" xfId="0" applyBorder="1"/>
    <xf numFmtId="5" fontId="0" fillId="0" borderId="4" xfId="0" applyNumberFormat="1" applyBorder="1"/>
    <xf numFmtId="5" fontId="0" fillId="2" borderId="0" xfId="0" applyNumberFormat="1" applyFill="1"/>
    <xf numFmtId="0" fontId="0" fillId="0" borderId="0" xfId="0" applyFill="1"/>
    <xf numFmtId="0" fontId="3" fillId="0" borderId="0" xfId="0" applyFont="1" applyFill="1"/>
    <xf numFmtId="0" fontId="0" fillId="0" borderId="4" xfId="0" applyFill="1" applyBorder="1"/>
    <xf numFmtId="0" fontId="0" fillId="0" borderId="5" xfId="0" applyBorder="1"/>
    <xf numFmtId="0" fontId="6" fillId="0" borderId="0" xfId="0" applyFont="1"/>
    <xf numFmtId="165" fontId="0" fillId="0" borderId="0" xfId="2" applyNumberFormat="1" applyFont="1"/>
    <xf numFmtId="0" fontId="3" fillId="2" borderId="0" xfId="0" applyFont="1" applyFill="1" applyAlignment="1">
      <alignment horizontal="left"/>
    </xf>
    <xf numFmtId="164" fontId="0" fillId="0" borderId="0" xfId="1" applyNumberFormat="1" applyFont="1"/>
    <xf numFmtId="1" fontId="0" fillId="0" borderId="0" xfId="0" applyNumberFormat="1"/>
    <xf numFmtId="164" fontId="3" fillId="0" borderId="0" xfId="1" applyNumberFormat="1" applyFont="1"/>
    <xf numFmtId="165" fontId="3" fillId="0" borderId="6" xfId="2" applyNumberFormat="1" applyFont="1" applyBorder="1"/>
    <xf numFmtId="165" fontId="3" fillId="3" borderId="6" xfId="2" applyNumberFormat="1" applyFont="1" applyFill="1" applyBorder="1"/>
    <xf numFmtId="165" fontId="0" fillId="0" borderId="0" xfId="0" applyNumberFormat="1"/>
    <xf numFmtId="0" fontId="7" fillId="0" borderId="0" xfId="0" applyFont="1"/>
    <xf numFmtId="165" fontId="3" fillId="0" borderId="0" xfId="2" applyNumberFormat="1" applyFont="1" applyBorder="1"/>
    <xf numFmtId="44" fontId="1" fillId="0" borderId="0" xfId="2"/>
    <xf numFmtId="44" fontId="1" fillId="0" borderId="4" xfId="2" applyBorder="1"/>
    <xf numFmtId="9" fontId="0" fillId="0" borderId="0" xfId="0" applyNumberFormat="1"/>
    <xf numFmtId="44" fontId="1" fillId="0" borderId="0" xfId="2" applyFont="1"/>
    <xf numFmtId="44" fontId="3" fillId="3" borderId="0" xfId="2" applyFont="1" applyFill="1"/>
    <xf numFmtId="43" fontId="0" fillId="0" borderId="0" xfId="0" applyNumberFormat="1"/>
    <xf numFmtId="44" fontId="0" fillId="0" borderId="0" xfId="0" applyNumberFormat="1"/>
    <xf numFmtId="9" fontId="0" fillId="0" borderId="2" xfId="3" applyFont="1" applyBorder="1"/>
    <xf numFmtId="0" fontId="3" fillId="0" borderId="0" xfId="0" applyFont="1" applyAlignment="1">
      <alignment horizontal="center"/>
    </xf>
    <xf numFmtId="165" fontId="0" fillId="0" borderId="7" xfId="2" applyNumberFormat="1" applyFont="1" applyBorder="1"/>
    <xf numFmtId="165" fontId="3" fillId="0" borderId="0" xfId="2" applyNumberFormat="1" applyFont="1"/>
    <xf numFmtId="0" fontId="8" fillId="0" borderId="0" xfId="0" applyFont="1"/>
    <xf numFmtId="0" fontId="3" fillId="4" borderId="0" xfId="0" applyFont="1" applyFill="1"/>
    <xf numFmtId="0" fontId="0" fillId="4" borderId="0" xfId="0" applyFill="1"/>
    <xf numFmtId="0" fontId="6" fillId="2" borderId="0" xfId="0" applyFont="1" applyFill="1"/>
    <xf numFmtId="164" fontId="3" fillId="0" borderId="6" xfId="1" applyNumberFormat="1" applyFont="1" applyBorder="1"/>
    <xf numFmtId="37" fontId="5" fillId="0" borderId="0" xfId="0" applyNumberFormat="1" applyFont="1"/>
    <xf numFmtId="0" fontId="5" fillId="0" borderId="0" xfId="0" applyFont="1"/>
    <xf numFmtId="164" fontId="3" fillId="0" borderId="5" xfId="1" applyNumberFormat="1" applyFont="1" applyBorder="1"/>
    <xf numFmtId="164" fontId="9" fillId="0" borderId="0" xfId="1" applyNumberFormat="1" applyFont="1"/>
    <xf numFmtId="164" fontId="5" fillId="0" borderId="0" xfId="1" applyNumberFormat="1" applyFont="1"/>
    <xf numFmtId="0" fontId="3" fillId="0" borderId="0" xfId="0" applyFont="1" applyFill="1" applyAlignment="1">
      <alignment horizontal="left"/>
    </xf>
    <xf numFmtId="0" fontId="3" fillId="0" borderId="0" xfId="0" applyFont="1" applyFill="1" applyAlignment="1">
      <alignment horizontal="center"/>
    </xf>
    <xf numFmtId="0" fontId="2" fillId="0" borderId="0" xfId="0" applyFont="1" applyFill="1"/>
    <xf numFmtId="164" fontId="3" fillId="0" borderId="0" xfId="1" applyNumberFormat="1" applyFont="1" applyBorder="1"/>
    <xf numFmtId="164" fontId="0" fillId="0" borderId="0" xfId="1" applyNumberFormat="1" applyFont="1" applyBorder="1"/>
    <xf numFmtId="164" fontId="0" fillId="0" borderId="0" xfId="0" applyNumberFormat="1"/>
    <xf numFmtId="0" fontId="10" fillId="0" borderId="0" xfId="0" applyFont="1"/>
    <xf numFmtId="165" fontId="10" fillId="0" borderId="0" xfId="2" applyNumberFormat="1" applyFont="1"/>
    <xf numFmtId="165" fontId="10" fillId="0" borderId="0" xfId="0" applyNumberFormat="1" applyFont="1"/>
    <xf numFmtId="0" fontId="0" fillId="0" borderId="0" xfId="0" applyAlignment="1">
      <alignment vertical="top" wrapText="1"/>
    </xf>
    <xf numFmtId="0" fontId="5" fillId="2" borderId="0" xfId="0" applyFont="1" applyFill="1"/>
    <xf numFmtId="165" fontId="0" fillId="0" borderId="0" xfId="0" applyNumberFormat="1" applyFill="1"/>
    <xf numFmtId="165" fontId="0" fillId="4" borderId="6" xfId="0" applyNumberFormat="1" applyFill="1" applyBorder="1"/>
    <xf numFmtId="9" fontId="11" fillId="0" borderId="0" xfId="3" applyFont="1"/>
    <xf numFmtId="164" fontId="3" fillId="0" borderId="6" xfId="2" applyNumberFormat="1" applyFont="1" applyBorder="1"/>
    <xf numFmtId="0" fontId="12" fillId="0" borderId="0" xfId="0" applyFont="1"/>
    <xf numFmtId="0" fontId="12" fillId="2" borderId="0" xfId="0" applyFont="1" applyFill="1"/>
    <xf numFmtId="164" fontId="12" fillId="0" borderId="0" xfId="1" applyNumberFormat="1" applyFont="1"/>
    <xf numFmtId="164" fontId="5" fillId="5" borderId="0" xfId="1" applyNumberFormat="1" applyFont="1" applyFill="1"/>
    <xf numFmtId="164" fontId="5" fillId="0" borderId="0" xfId="1" applyNumberFormat="1" applyFont="1" applyBorder="1"/>
    <xf numFmtId="9" fontId="0" fillId="0" borderId="0" xfId="3" applyFont="1" applyBorder="1"/>
    <xf numFmtId="165" fontId="5" fillId="0" borderId="0" xfId="2" applyNumberFormat="1" applyFont="1"/>
    <xf numFmtId="169" fontId="0" fillId="0" borderId="0" xfId="1" applyNumberFormat="1" applyFont="1"/>
    <xf numFmtId="164" fontId="5" fillId="0" borderId="0" xfId="1" applyNumberFormat="1" applyFont="1" applyFill="1"/>
    <xf numFmtId="43" fontId="0" fillId="0" borderId="0" xfId="1" applyFont="1"/>
    <xf numFmtId="164" fontId="5" fillId="0" borderId="0" xfId="1" quotePrefix="1" applyNumberFormat="1" applyFont="1"/>
    <xf numFmtId="10" fontId="10" fillId="6" borderId="0" xfId="0" applyNumberFormat="1" applyFont="1" applyFill="1"/>
    <xf numFmtId="10" fontId="10" fillId="6" borderId="0" xfId="2" applyNumberFormat="1" applyFont="1" applyFill="1"/>
    <xf numFmtId="9" fontId="10" fillId="6" borderId="0" xfId="0" applyNumberFormat="1" applyFont="1" applyFill="1"/>
    <xf numFmtId="43" fontId="5" fillId="0" borderId="0" xfId="1" applyNumberFormat="1" applyFont="1"/>
    <xf numFmtId="43" fontId="0" fillId="0" borderId="0" xfId="1" applyNumberFormat="1" applyFont="1"/>
    <xf numFmtId="164" fontId="5" fillId="0" borderId="0" xfId="1" applyNumberFormat="1" applyFont="1" applyAlignment="1">
      <alignment wrapText="1"/>
    </xf>
    <xf numFmtId="10" fontId="0" fillId="0" borderId="0" xfId="3" applyNumberFormat="1" applyFont="1"/>
    <xf numFmtId="164" fontId="5" fillId="0" borderId="0" xfId="1" applyNumberFormat="1" applyFont="1" applyAlignment="1"/>
    <xf numFmtId="165" fontId="3" fillId="0" borderId="0" xfId="2" applyNumberFormat="1" applyFont="1" applyFill="1" applyBorder="1"/>
    <xf numFmtId="165" fontId="3" fillId="0" borderId="2" xfId="2" applyNumberFormat="1" applyFont="1" applyBorder="1"/>
    <xf numFmtId="0" fontId="15" fillId="5" borderId="0" xfId="0" applyFont="1" applyFill="1"/>
    <xf numFmtId="10" fontId="15" fillId="7" borderId="0" xfId="0" applyNumberFormat="1" applyFont="1" applyFill="1"/>
    <xf numFmtId="165" fontId="3" fillId="8" borderId="0" xfId="2" applyNumberFormat="1" applyFont="1" applyFill="1" applyBorder="1"/>
    <xf numFmtId="37" fontId="0" fillId="0" borderId="4" xfId="0" applyNumberFormat="1" applyBorder="1"/>
    <xf numFmtId="37" fontId="0" fillId="0" borderId="0" xfId="0" applyNumberFormat="1" applyFill="1"/>
    <xf numFmtId="0" fontId="5" fillId="0" borderId="0" xfId="0" applyFont="1" applyAlignment="1">
      <alignment horizontal="center"/>
    </xf>
    <xf numFmtId="0" fontId="5" fillId="0" borderId="0" xfId="0" applyFont="1" applyFill="1"/>
    <xf numFmtId="0" fontId="3" fillId="10" borderId="0" xfId="0" applyFont="1" applyFill="1" applyAlignment="1">
      <alignment horizontal="center" wrapText="1"/>
    </xf>
    <xf numFmtId="0" fontId="6" fillId="10" borderId="0" xfId="0" applyFont="1" applyFill="1"/>
    <xf numFmtId="0" fontId="3" fillId="10" borderId="0" xfId="0" applyFont="1" applyFill="1" applyAlignment="1">
      <alignment horizontal="left"/>
    </xf>
    <xf numFmtId="0" fontId="3" fillId="10" borderId="0" xfId="0" applyFont="1" applyFill="1" applyAlignment="1">
      <alignment horizontal="center"/>
    </xf>
    <xf numFmtId="10" fontId="5" fillId="7" borderId="0" xfId="0" applyNumberFormat="1" applyFont="1" applyFill="1"/>
    <xf numFmtId="164" fontId="5" fillId="11" borderId="0" xfId="1" applyNumberFormat="1" applyFont="1" applyFill="1"/>
    <xf numFmtId="167" fontId="0" fillId="0" borderId="0" xfId="1" applyNumberFormat="1" applyFont="1"/>
    <xf numFmtId="10" fontId="0" fillId="0" borderId="0" xfId="1" applyNumberFormat="1" applyFont="1"/>
    <xf numFmtId="43" fontId="3" fillId="0" borderId="0" xfId="1" applyNumberFormat="1" applyFont="1"/>
    <xf numFmtId="164" fontId="0" fillId="0" borderId="5" xfId="1" applyNumberFormat="1" applyFont="1" applyBorder="1"/>
    <xf numFmtId="0" fontId="3" fillId="0" borderId="5" xfId="0" applyFont="1" applyBorder="1"/>
    <xf numFmtId="0" fontId="5" fillId="7" borderId="0" xfId="0" applyFont="1" applyFill="1"/>
    <xf numFmtId="0" fontId="3" fillId="11" borderId="0" xfId="0" applyFont="1" applyFill="1"/>
    <xf numFmtId="9" fontId="3" fillId="11" borderId="0" xfId="0" applyNumberFormat="1" applyFont="1" applyFill="1"/>
    <xf numFmtId="165" fontId="3" fillId="11" borderId="0" xfId="2" applyNumberFormat="1" applyFont="1" applyFill="1"/>
    <xf numFmtId="9" fontId="0" fillId="0" borderId="0" xfId="0" applyNumberFormat="1" applyFill="1" applyAlignment="1">
      <alignment horizontal="center"/>
    </xf>
    <xf numFmtId="165" fontId="0" fillId="0" borderId="5" xfId="2" applyNumberFormat="1" applyFont="1" applyBorder="1"/>
    <xf numFmtId="9" fontId="5" fillId="0" borderId="0" xfId="3" quotePrefix="1" applyFont="1"/>
    <xf numFmtId="0" fontId="14" fillId="9" borderId="0" xfId="0" applyFont="1" applyFill="1" applyAlignment="1">
      <alignment horizontal="center"/>
    </xf>
    <xf numFmtId="0" fontId="14" fillId="11" borderId="0" xfId="0" applyFont="1" applyFill="1" applyAlignment="1">
      <alignment horizontal="center"/>
    </xf>
    <xf numFmtId="9" fontId="14" fillId="11" borderId="0" xfId="0" applyNumberFormat="1" applyFont="1" applyFill="1" applyAlignment="1">
      <alignment horizontal="center"/>
    </xf>
    <xf numFmtId="0" fontId="14" fillId="0" borderId="0" xfId="0" applyFont="1"/>
    <xf numFmtId="0" fontId="3" fillId="12" borderId="0" xfId="0" applyFont="1" applyFill="1" applyAlignment="1">
      <alignment horizontal="center" wrapText="1"/>
    </xf>
    <xf numFmtId="165" fontId="16" fillId="0" borderId="0" xfId="2" applyNumberFormat="1" applyFont="1"/>
    <xf numFmtId="164" fontId="3" fillId="13" borderId="0" xfId="1" applyNumberFormat="1" applyFont="1" applyFill="1"/>
    <xf numFmtId="0" fontId="5" fillId="11" borderId="0" xfId="0" applyFont="1" applyFill="1"/>
    <xf numFmtId="0" fontId="0" fillId="11" borderId="0" xfId="0" applyFill="1"/>
    <xf numFmtId="10" fontId="15" fillId="14" borderId="0" xfId="0" applyNumberFormat="1" applyFont="1" applyFill="1"/>
    <xf numFmtId="0" fontId="3" fillId="14" borderId="0" xfId="0" applyFont="1" applyFill="1" applyAlignment="1">
      <alignment horizontal="center" wrapText="1"/>
    </xf>
    <xf numFmtId="0" fontId="3" fillId="14" borderId="0" xfId="0" applyFont="1" applyFill="1" applyAlignment="1">
      <alignment horizontal="center"/>
    </xf>
    <xf numFmtId="165" fontId="3" fillId="14" borderId="6" xfId="2" applyNumberFormat="1" applyFont="1" applyFill="1" applyBorder="1"/>
    <xf numFmtId="165" fontId="3" fillId="14" borderId="0" xfId="2" applyNumberFormat="1" applyFont="1" applyFill="1" applyBorder="1"/>
    <xf numFmtId="164" fontId="16" fillId="0" borderId="0" xfId="1" applyNumberFormat="1" applyFont="1"/>
    <xf numFmtId="9" fontId="14" fillId="9" borderId="0" xfId="0" applyNumberFormat="1" applyFont="1" applyFill="1" applyAlignment="1">
      <alignment horizontal="center"/>
    </xf>
    <xf numFmtId="43" fontId="5" fillId="0" borderId="0" xfId="1" applyFont="1"/>
    <xf numFmtId="43" fontId="0" fillId="0" borderId="5" xfId="1" applyFont="1" applyBorder="1"/>
    <xf numFmtId="43" fontId="0" fillId="0" borderId="0" xfId="1" applyFont="1" applyBorder="1"/>
    <xf numFmtId="43" fontId="5" fillId="0" borderId="0" xfId="1" applyFont="1" applyAlignment="1">
      <alignment horizontal="center"/>
    </xf>
    <xf numFmtId="43" fontId="0" fillId="0" borderId="0" xfId="1" applyFont="1" applyFill="1" applyAlignment="1">
      <alignment horizontal="center"/>
    </xf>
    <xf numFmtId="43" fontId="3" fillId="0" borderId="0" xfId="1" applyFont="1"/>
    <xf numFmtId="0" fontId="6" fillId="0" borderId="0" xfId="0" applyFont="1" applyFill="1"/>
    <xf numFmtId="10" fontId="10" fillId="0" borderId="0" xfId="0" applyNumberFormat="1" applyFont="1"/>
    <xf numFmtId="165" fontId="5" fillId="14" borderId="0" xfId="2" applyNumberFormat="1" applyFont="1" applyFill="1"/>
    <xf numFmtId="164" fontId="5" fillId="14" borderId="0" xfId="1" applyNumberFormat="1" applyFont="1" applyFill="1"/>
    <xf numFmtId="167" fontId="5" fillId="14" borderId="0" xfId="1" applyNumberFormat="1" applyFont="1" applyFill="1"/>
    <xf numFmtId="164" fontId="5" fillId="13" borderId="0" xfId="1" applyNumberFormat="1" applyFont="1" applyFill="1"/>
    <xf numFmtId="0" fontId="3" fillId="0" borderId="0" xfId="0" applyFont="1" applyAlignment="1">
      <alignment horizontal="center" vertical="center"/>
    </xf>
    <xf numFmtId="0" fontId="0" fillId="0" borderId="0" xfId="0" applyAlignment="1">
      <alignment wrapText="1"/>
    </xf>
    <xf numFmtId="0" fontId="3" fillId="0" borderId="0" xfId="0" applyFont="1" applyAlignment="1">
      <alignment wrapText="1"/>
    </xf>
    <xf numFmtId="164" fontId="0" fillId="0" borderId="0" xfId="1" applyNumberFormat="1" applyFont="1" applyAlignment="1">
      <alignment horizontal="right" indent="1"/>
    </xf>
    <xf numFmtId="164" fontId="0" fillId="0" borderId="0" xfId="0" applyNumberFormat="1" applyAlignment="1">
      <alignment horizontal="right"/>
    </xf>
    <xf numFmtId="0" fontId="5" fillId="0" borderId="0" xfId="0" applyFont="1" applyAlignment="1">
      <alignment wrapText="1"/>
    </xf>
    <xf numFmtId="0" fontId="0" fillId="0" borderId="0" xfId="0" applyAlignment="1">
      <alignment wrapText="1"/>
    </xf>
    <xf numFmtId="0" fontId="5" fillId="0" borderId="0" xfId="0" applyFont="1" applyAlignment="1">
      <alignment horizontal="left" wrapText="1"/>
    </xf>
    <xf numFmtId="164" fontId="5" fillId="0" borderId="0" xfId="1" applyNumberFormat="1" applyFont="1" applyAlignment="1">
      <alignment horizontal="left" vertical="top" wrapText="1"/>
    </xf>
    <xf numFmtId="164" fontId="5" fillId="0" borderId="0" xfId="1" applyNumberFormat="1" applyFont="1" applyAlignment="1">
      <alignment horizontal="left" wrapText="1"/>
    </xf>
    <xf numFmtId="0" fontId="5" fillId="0" borderId="0" xfId="0" applyFont="1" applyAlignment="1">
      <alignment horizontal="left"/>
    </xf>
    <xf numFmtId="0" fontId="5" fillId="0" borderId="0" xfId="0" quotePrefix="1" applyFont="1" applyAlignment="1">
      <alignment horizontal="left" wrapText="1"/>
    </xf>
    <xf numFmtId="0" fontId="5" fillId="0" borderId="0" xfId="0" quotePrefix="1" applyFont="1" applyAlignment="1">
      <alignment horizontal="left" vertical="top" wrapText="1"/>
    </xf>
    <xf numFmtId="0" fontId="13" fillId="0" borderId="0" xfId="0" applyFont="1" applyAlignment="1">
      <alignment horizontal="center"/>
    </xf>
    <xf numFmtId="0" fontId="3" fillId="0" borderId="0" xfId="0" applyFont="1" applyAlignment="1">
      <alignment horizontal="center" vertical="center"/>
    </xf>
  </cellXfs>
  <cellStyles count="7">
    <cellStyle name="Comma" xfId="1" builtinId="3"/>
    <cellStyle name="Currency" xfId="2" builtinId="4"/>
    <cellStyle name="Currency 2" xfId="5" xr:uid="{48375F07-E5FC-4287-873B-3B289EEDEE5A}"/>
    <cellStyle name="Normal" xfId="0" builtinId="0"/>
    <cellStyle name="Normal 2" xfId="4" xr:uid="{00000000-0005-0000-0000-000003000000}"/>
    <cellStyle name="Normal 2 2" xfId="6" xr:uid="{7A9E2803-636F-4998-A6A6-289EA3B39E7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
  <sheetViews>
    <sheetView tabSelected="1" zoomScaleNormal="100" zoomScaleSheetLayoutView="100" workbookViewId="0">
      <selection activeCell="P15" sqref="O15:P15"/>
    </sheetView>
  </sheetViews>
  <sheetFormatPr defaultRowHeight="12.75" x14ac:dyDescent="0.2"/>
  <cols>
    <col min="1" max="1" width="3.28515625" customWidth="1"/>
    <col min="2" max="2" width="5.140625" customWidth="1"/>
    <col min="5" max="5" width="11.28515625" customWidth="1"/>
    <col min="6" max="6" width="16.5703125" customWidth="1"/>
    <col min="7" max="7" width="15.42578125" customWidth="1"/>
    <col min="8" max="8" width="1" customWidth="1"/>
    <col min="9" max="9" width="14" customWidth="1"/>
    <col min="10" max="10" width="1.42578125" customWidth="1"/>
    <col min="11" max="11" width="15" customWidth="1"/>
    <col min="12" max="12" width="0.140625" customWidth="1"/>
    <col min="13" max="13" width="0.28515625" hidden="1" customWidth="1"/>
    <col min="14" max="14" width="11.42578125" hidden="1" customWidth="1"/>
    <col min="16" max="16" width="9.85546875" bestFit="1" customWidth="1"/>
    <col min="18" max="18" width="9.28515625" bestFit="1" customWidth="1"/>
  </cols>
  <sheetData>
    <row r="1" spans="1:16" ht="18" x14ac:dyDescent="0.25">
      <c r="A1" s="30" t="s">
        <v>0</v>
      </c>
      <c r="K1" s="30"/>
      <c r="M1" s="30"/>
    </row>
    <row r="2" spans="1:16" ht="18" x14ac:dyDescent="0.25">
      <c r="A2" s="30" t="s">
        <v>1</v>
      </c>
      <c r="K2" s="52"/>
    </row>
    <row r="3" spans="1:16" ht="18" x14ac:dyDescent="0.25">
      <c r="A3" s="145"/>
      <c r="B3" s="26"/>
      <c r="C3" s="26"/>
      <c r="D3" s="26"/>
      <c r="E3" s="26"/>
      <c r="F3" s="26"/>
      <c r="K3" s="52"/>
    </row>
    <row r="4" spans="1:16" ht="12" customHeight="1" x14ac:dyDescent="0.25">
      <c r="A4" s="1"/>
      <c r="K4" s="52"/>
    </row>
    <row r="5" spans="1:16" x14ac:dyDescent="0.2">
      <c r="B5" s="151" t="s">
        <v>2</v>
      </c>
      <c r="C5" s="151"/>
      <c r="D5" s="151"/>
      <c r="E5" s="151"/>
      <c r="F5" s="151"/>
      <c r="G5" s="151" t="s">
        <v>3</v>
      </c>
      <c r="H5" s="151"/>
      <c r="I5" s="151"/>
      <c r="J5" s="151"/>
      <c r="K5" s="151"/>
      <c r="N5" s="58"/>
    </row>
    <row r="6" spans="1:16" s="2" customFormat="1" ht="16.5" customHeight="1" x14ac:dyDescent="0.2">
      <c r="B6" s="3"/>
      <c r="G6" s="4" t="s">
        <v>4</v>
      </c>
      <c r="H6" s="5"/>
      <c r="I6" s="4" t="s">
        <v>5</v>
      </c>
      <c r="J6" s="5"/>
      <c r="K6" s="4" t="s">
        <v>6</v>
      </c>
      <c r="L6" s="5"/>
      <c r="M6" s="4" t="s">
        <v>7</v>
      </c>
      <c r="P6" s="6"/>
    </row>
    <row r="7" spans="1:16" s="2" customFormat="1" ht="43.5" customHeight="1" x14ac:dyDescent="0.2">
      <c r="B7" s="3" t="s">
        <v>8</v>
      </c>
      <c r="G7" s="7" t="s">
        <v>9</v>
      </c>
      <c r="H7" s="8"/>
      <c r="I7" s="7" t="s">
        <v>10</v>
      </c>
      <c r="J7" s="8"/>
      <c r="K7" s="7" t="s">
        <v>11</v>
      </c>
      <c r="L7" s="5"/>
      <c r="M7" s="7" t="s">
        <v>12</v>
      </c>
      <c r="N7" s="72" t="s">
        <v>13</v>
      </c>
    </row>
    <row r="8" spans="1:16" x14ac:dyDescent="0.2">
      <c r="A8">
        <v>1</v>
      </c>
      <c r="C8" t="s">
        <v>14</v>
      </c>
      <c r="G8" s="9">
        <v>4246497</v>
      </c>
      <c r="H8" s="9"/>
      <c r="I8" s="10"/>
      <c r="J8" s="9"/>
      <c r="K8" s="9">
        <f t="shared" ref="K8:K18" si="0">G8+I8</f>
        <v>4246497</v>
      </c>
      <c r="M8" s="2"/>
      <c r="N8" s="79">
        <f>K8/12</f>
        <v>353874.75</v>
      </c>
    </row>
    <row r="9" spans="1:16" x14ac:dyDescent="0.2">
      <c r="A9">
        <f t="shared" ref="A9:A21" si="1">A8+1</f>
        <v>2</v>
      </c>
      <c r="C9" t="s">
        <v>15</v>
      </c>
      <c r="G9" s="57">
        <v>815750</v>
      </c>
      <c r="H9" s="9"/>
      <c r="I9" s="10"/>
      <c r="J9" s="9"/>
      <c r="K9" s="9">
        <f t="shared" si="0"/>
        <v>815750</v>
      </c>
      <c r="M9" s="2"/>
      <c r="N9" s="79">
        <f t="shared" ref="N9:N21" si="2">K9/12</f>
        <v>67979.166666666672</v>
      </c>
    </row>
    <row r="10" spans="1:16" x14ac:dyDescent="0.2">
      <c r="A10">
        <f t="shared" si="1"/>
        <v>3</v>
      </c>
      <c r="C10" s="58" t="s">
        <v>16</v>
      </c>
      <c r="G10" s="9">
        <v>150685</v>
      </c>
      <c r="H10" s="9"/>
      <c r="I10" s="10"/>
      <c r="J10" s="9"/>
      <c r="K10" s="9">
        <f t="shared" si="0"/>
        <v>150685</v>
      </c>
      <c r="M10" s="2"/>
      <c r="N10" s="79">
        <f t="shared" si="2"/>
        <v>12557.083333333334</v>
      </c>
    </row>
    <row r="11" spans="1:16" x14ac:dyDescent="0.2">
      <c r="A11">
        <f>A10+1</f>
        <v>4</v>
      </c>
      <c r="C11" s="58" t="s">
        <v>17</v>
      </c>
      <c r="G11" s="9">
        <v>269599</v>
      </c>
      <c r="H11" s="9"/>
      <c r="I11" s="10"/>
      <c r="J11" s="9"/>
      <c r="K11" s="9">
        <f>G11+I11</f>
        <v>269599</v>
      </c>
      <c r="M11" s="2"/>
      <c r="N11" s="79">
        <f t="shared" si="2"/>
        <v>22466.583333333332</v>
      </c>
    </row>
    <row r="12" spans="1:16" x14ac:dyDescent="0.2">
      <c r="A12">
        <f>A11+1</f>
        <v>5</v>
      </c>
      <c r="C12" s="58" t="s">
        <v>18</v>
      </c>
      <c r="G12" s="11">
        <v>331955</v>
      </c>
      <c r="H12" s="9"/>
      <c r="I12" s="10"/>
      <c r="J12" s="9"/>
      <c r="K12" s="9">
        <f t="shared" si="0"/>
        <v>331955</v>
      </c>
      <c r="M12" s="2"/>
      <c r="N12" s="79">
        <f t="shared" si="2"/>
        <v>27662.916666666668</v>
      </c>
    </row>
    <row r="13" spans="1:16" ht="13.5" customHeight="1" x14ac:dyDescent="0.2">
      <c r="A13">
        <f t="shared" si="1"/>
        <v>6</v>
      </c>
      <c r="D13" s="13" t="s">
        <v>19</v>
      </c>
      <c r="G13" s="14">
        <f>SUM(G8:G12)</f>
        <v>5814486</v>
      </c>
      <c r="H13" s="9"/>
      <c r="I13" s="14"/>
      <c r="J13" s="9"/>
      <c r="K13" s="14">
        <f t="shared" si="0"/>
        <v>5814486</v>
      </c>
      <c r="M13" s="2"/>
      <c r="N13" s="79">
        <f t="shared" si="2"/>
        <v>484540.5</v>
      </c>
    </row>
    <row r="14" spans="1:16" x14ac:dyDescent="0.2">
      <c r="A14">
        <f t="shared" si="1"/>
        <v>7</v>
      </c>
      <c r="C14" s="58" t="s">
        <v>20</v>
      </c>
      <c r="G14" s="9">
        <f>250000</f>
        <v>250000</v>
      </c>
      <c r="H14" s="9"/>
      <c r="I14" s="9"/>
      <c r="J14" s="9"/>
      <c r="K14" s="9">
        <f t="shared" si="0"/>
        <v>250000</v>
      </c>
      <c r="M14" s="2"/>
      <c r="N14" s="79">
        <f t="shared" si="2"/>
        <v>20833.333333333332</v>
      </c>
    </row>
    <row r="15" spans="1:16" x14ac:dyDescent="0.2">
      <c r="A15">
        <f t="shared" si="1"/>
        <v>8</v>
      </c>
      <c r="C15" t="s">
        <v>21</v>
      </c>
      <c r="G15" s="9">
        <v>75000</v>
      </c>
      <c r="H15" s="9"/>
      <c r="I15" s="9"/>
      <c r="J15" s="9"/>
      <c r="K15" s="9">
        <f t="shared" si="0"/>
        <v>75000</v>
      </c>
      <c r="M15" s="2"/>
      <c r="N15" s="79">
        <f t="shared" si="2"/>
        <v>6250</v>
      </c>
    </row>
    <row r="16" spans="1:16" x14ac:dyDescent="0.2">
      <c r="A16">
        <f t="shared" si="1"/>
        <v>9</v>
      </c>
      <c r="C16" t="s">
        <v>22</v>
      </c>
      <c r="G16" s="9">
        <v>86831</v>
      </c>
      <c r="H16" s="9"/>
      <c r="I16" s="9"/>
      <c r="J16" s="9"/>
      <c r="K16" s="9">
        <f t="shared" si="0"/>
        <v>86831</v>
      </c>
      <c r="M16" s="2"/>
      <c r="N16" s="79">
        <f t="shared" si="2"/>
        <v>7235.916666666667</v>
      </c>
    </row>
    <row r="17" spans="1:16" x14ac:dyDescent="0.2">
      <c r="A17">
        <f t="shared" si="1"/>
        <v>10</v>
      </c>
      <c r="C17" s="58" t="s">
        <v>23</v>
      </c>
      <c r="G17" s="9">
        <f>4140+1200</f>
        <v>5340</v>
      </c>
      <c r="H17" s="9"/>
      <c r="I17" s="9"/>
      <c r="J17" s="9"/>
      <c r="K17" s="9">
        <f t="shared" si="0"/>
        <v>5340</v>
      </c>
      <c r="M17" s="2"/>
      <c r="N17" s="79">
        <f t="shared" si="2"/>
        <v>445</v>
      </c>
    </row>
    <row r="18" spans="1:16" ht="13.5" customHeight="1" x14ac:dyDescent="0.2">
      <c r="A18">
        <f t="shared" si="1"/>
        <v>11</v>
      </c>
      <c r="D18" s="13" t="s">
        <v>24</v>
      </c>
      <c r="G18" s="14">
        <f>SUM(G14:G17)</f>
        <v>417171</v>
      </c>
      <c r="I18" s="14">
        <f>SUM(I14:I17)</f>
        <v>0</v>
      </c>
      <c r="K18" s="14">
        <f t="shared" si="0"/>
        <v>417171</v>
      </c>
      <c r="M18" s="2"/>
      <c r="N18" s="79">
        <f t="shared" si="2"/>
        <v>34764.25</v>
      </c>
    </row>
    <row r="19" spans="1:16" x14ac:dyDescent="0.2">
      <c r="A19">
        <f t="shared" si="1"/>
        <v>12</v>
      </c>
      <c r="C19" t="s">
        <v>25</v>
      </c>
      <c r="D19" s="13"/>
      <c r="G19" s="2"/>
      <c r="I19" s="9"/>
      <c r="K19" s="9"/>
      <c r="M19" s="2"/>
      <c r="N19" s="79">
        <f t="shared" si="2"/>
        <v>0</v>
      </c>
    </row>
    <row r="20" spans="1:16" ht="13.5" customHeight="1" x14ac:dyDescent="0.2">
      <c r="A20">
        <f t="shared" si="1"/>
        <v>13</v>
      </c>
      <c r="D20" s="13"/>
      <c r="I20" s="19"/>
      <c r="M20" s="2"/>
      <c r="N20" s="79">
        <f t="shared" si="2"/>
        <v>0</v>
      </c>
    </row>
    <row r="21" spans="1:16" ht="13.5" customHeight="1" x14ac:dyDescent="0.2">
      <c r="A21">
        <f t="shared" si="1"/>
        <v>14</v>
      </c>
      <c r="C21" s="13" t="s">
        <v>26</v>
      </c>
      <c r="G21" s="15">
        <f>G13+G18</f>
        <v>6231657</v>
      </c>
      <c r="H21" s="16"/>
      <c r="I21" s="15">
        <f>I13+I18</f>
        <v>0</v>
      </c>
      <c r="J21" s="16"/>
      <c r="K21" s="25">
        <f>G21+I21</f>
        <v>6231657</v>
      </c>
      <c r="M21" s="2"/>
      <c r="N21" s="79">
        <f t="shared" si="2"/>
        <v>519304.75</v>
      </c>
      <c r="P21" s="19"/>
    </row>
    <row r="22" spans="1:16" ht="6" customHeight="1" x14ac:dyDescent="0.2">
      <c r="N22" s="77"/>
    </row>
    <row r="23" spans="1:16" s="2" customFormat="1" ht="51" customHeight="1" x14ac:dyDescent="0.2">
      <c r="B23" s="3" t="s">
        <v>27</v>
      </c>
      <c r="G23" s="7" t="s">
        <v>9</v>
      </c>
      <c r="I23" s="7" t="s">
        <v>10</v>
      </c>
      <c r="K23" s="4" t="s">
        <v>28</v>
      </c>
      <c r="M23" s="7" t="s">
        <v>12</v>
      </c>
      <c r="N23" s="78"/>
    </row>
    <row r="24" spans="1:16" x14ac:dyDescent="0.2">
      <c r="A24">
        <f>A21+1</f>
        <v>15</v>
      </c>
      <c r="B24" s="17" t="s">
        <v>29</v>
      </c>
      <c r="N24" s="77"/>
    </row>
    <row r="25" spans="1:16" x14ac:dyDescent="0.2">
      <c r="A25">
        <f>A24+1</f>
        <v>16</v>
      </c>
      <c r="C25" t="s">
        <v>30</v>
      </c>
      <c r="G25" s="9">
        <v>301379</v>
      </c>
      <c r="H25" s="9"/>
      <c r="I25" s="9"/>
      <c r="J25" s="9"/>
      <c r="K25" s="9">
        <f>G25+I25</f>
        <v>301379</v>
      </c>
      <c r="M25" s="18">
        <f>K25/$K$13</f>
        <v>5.1832440563103946E-2</v>
      </c>
      <c r="N25" s="79">
        <f t="shared" ref="N25:N36" si="3">K25/12</f>
        <v>25114.916666666668</v>
      </c>
    </row>
    <row r="26" spans="1:16" x14ac:dyDescent="0.2">
      <c r="A26">
        <f t="shared" ref="A26:A89" si="4">A25+1</f>
        <v>17</v>
      </c>
      <c r="C26" t="s">
        <v>31</v>
      </c>
      <c r="F26" s="9"/>
      <c r="G26" s="9">
        <f>434123+254758+87245-40859</f>
        <v>735267</v>
      </c>
      <c r="H26" s="9"/>
      <c r="I26" s="9"/>
      <c r="J26" s="9"/>
      <c r="K26" s="9">
        <f>G26+I26</f>
        <v>735267</v>
      </c>
      <c r="M26" s="18">
        <f>K26/$K$13</f>
        <v>0.12645434179392642</v>
      </c>
      <c r="N26" s="79">
        <f t="shared" si="3"/>
        <v>61272.25</v>
      </c>
    </row>
    <row r="27" spans="1:16" x14ac:dyDescent="0.2">
      <c r="A27">
        <f t="shared" si="4"/>
        <v>18</v>
      </c>
      <c r="C27" t="s">
        <v>32</v>
      </c>
      <c r="G27" s="9">
        <f>1767387-202673</f>
        <v>1564714</v>
      </c>
      <c r="H27" s="9"/>
      <c r="I27" s="9"/>
      <c r="J27" s="9"/>
      <c r="K27" s="9">
        <f t="shared" ref="K27:K36" si="5">G27+I27</f>
        <v>1564714</v>
      </c>
      <c r="M27" s="18">
        <f t="shared" ref="M27:M37" si="6">K27/$K$13</f>
        <v>0.26910616002859067</v>
      </c>
      <c r="N27" s="79">
        <f t="shared" si="3"/>
        <v>130392.83333333333</v>
      </c>
      <c r="P27" s="9"/>
    </row>
    <row r="28" spans="1:16" x14ac:dyDescent="0.2">
      <c r="A28">
        <f t="shared" si="4"/>
        <v>19</v>
      </c>
      <c r="C28" t="s">
        <v>33</v>
      </c>
      <c r="G28" s="9">
        <v>486065</v>
      </c>
      <c r="H28" s="9"/>
      <c r="I28" s="9"/>
      <c r="J28" s="9"/>
      <c r="K28" s="9">
        <f t="shared" si="5"/>
        <v>486065</v>
      </c>
      <c r="M28" s="18">
        <f t="shared" si="6"/>
        <v>8.3595523318828177E-2</v>
      </c>
      <c r="N28" s="79">
        <f t="shared" si="3"/>
        <v>40505.416666666664</v>
      </c>
    </row>
    <row r="29" spans="1:16" x14ac:dyDescent="0.2">
      <c r="A29">
        <f t="shared" si="4"/>
        <v>20</v>
      </c>
      <c r="C29" t="s">
        <v>34</v>
      </c>
      <c r="G29" s="9">
        <v>37545</v>
      </c>
      <c r="H29" s="9"/>
      <c r="I29" s="9"/>
      <c r="J29" s="9"/>
      <c r="K29" s="9">
        <f t="shared" si="5"/>
        <v>37545</v>
      </c>
      <c r="M29" s="18">
        <f t="shared" si="6"/>
        <v>6.4571485768475491E-3</v>
      </c>
      <c r="N29" s="79">
        <f t="shared" si="3"/>
        <v>3128.75</v>
      </c>
    </row>
    <row r="30" spans="1:16" x14ac:dyDescent="0.2">
      <c r="A30">
        <f t="shared" si="4"/>
        <v>21</v>
      </c>
      <c r="C30" t="s">
        <v>35</v>
      </c>
      <c r="G30" s="9">
        <v>78283</v>
      </c>
      <c r="H30" s="9"/>
      <c r="I30" s="9"/>
      <c r="J30" s="9"/>
      <c r="K30" s="9">
        <f t="shared" si="5"/>
        <v>78283</v>
      </c>
      <c r="M30" s="18">
        <f t="shared" si="6"/>
        <v>1.3463442856341903E-2</v>
      </c>
      <c r="N30" s="79">
        <f t="shared" si="3"/>
        <v>6523.583333333333</v>
      </c>
    </row>
    <row r="31" spans="1:16" x14ac:dyDescent="0.2">
      <c r="A31">
        <f t="shared" si="4"/>
        <v>22</v>
      </c>
      <c r="C31" t="s">
        <v>36</v>
      </c>
      <c r="G31" s="9">
        <v>202673</v>
      </c>
      <c r="H31" s="9"/>
      <c r="I31" s="9"/>
      <c r="J31" s="9"/>
      <c r="K31" s="9">
        <f t="shared" si="5"/>
        <v>202673</v>
      </c>
      <c r="M31" s="18"/>
      <c r="N31" s="79"/>
    </row>
    <row r="32" spans="1:16" x14ac:dyDescent="0.2">
      <c r="A32">
        <f t="shared" si="4"/>
        <v>23</v>
      </c>
      <c r="C32" s="58" t="s">
        <v>37</v>
      </c>
      <c r="G32" s="101">
        <v>0</v>
      </c>
      <c r="H32" s="9"/>
      <c r="I32" s="9"/>
      <c r="J32" s="9"/>
      <c r="K32" s="101">
        <f t="shared" si="5"/>
        <v>0</v>
      </c>
      <c r="M32" s="18"/>
      <c r="N32" s="79"/>
    </row>
    <row r="33" spans="1:18" x14ac:dyDescent="0.2">
      <c r="A33">
        <f t="shared" si="4"/>
        <v>24</v>
      </c>
      <c r="C33" s="17" t="s">
        <v>38</v>
      </c>
      <c r="G33" s="9">
        <f>SUM(G25:G32)</f>
        <v>3405926</v>
      </c>
      <c r="H33" s="9"/>
      <c r="I33" s="9"/>
      <c r="J33" s="9"/>
      <c r="K33" s="9">
        <f>SUM(K25:K32)</f>
        <v>3405926</v>
      </c>
      <c r="M33" s="18"/>
      <c r="N33" s="79"/>
    </row>
    <row r="34" spans="1:18" x14ac:dyDescent="0.2">
      <c r="A34">
        <f t="shared" si="4"/>
        <v>25</v>
      </c>
      <c r="C34" t="s">
        <v>39</v>
      </c>
      <c r="G34" s="101">
        <f>342595+317556</f>
        <v>660151</v>
      </c>
      <c r="H34" s="9"/>
      <c r="I34" s="9"/>
      <c r="J34" s="9"/>
      <c r="K34" s="101">
        <f t="shared" si="5"/>
        <v>660151</v>
      </c>
      <c r="M34" s="18">
        <f t="shared" si="6"/>
        <v>0.11353557304979323</v>
      </c>
      <c r="N34" s="79">
        <f t="shared" si="3"/>
        <v>55012.583333333336</v>
      </c>
    </row>
    <row r="35" spans="1:18" x14ac:dyDescent="0.2">
      <c r="A35">
        <f t="shared" si="4"/>
        <v>26</v>
      </c>
      <c r="C35" s="13" t="s">
        <v>40</v>
      </c>
      <c r="G35" s="9">
        <f>SUM(G33:G34)</f>
        <v>4066077</v>
      </c>
      <c r="H35" s="9"/>
      <c r="I35" s="9"/>
      <c r="J35" s="9"/>
      <c r="K35" s="9">
        <f>SUM(K33:K34)</f>
        <v>4066077</v>
      </c>
      <c r="M35" s="18"/>
      <c r="N35" s="79"/>
    </row>
    <row r="36" spans="1:18" x14ac:dyDescent="0.2">
      <c r="A36">
        <f t="shared" si="4"/>
        <v>27</v>
      </c>
      <c r="C36" t="s">
        <v>41</v>
      </c>
      <c r="G36" s="33">
        <v>107708</v>
      </c>
      <c r="H36" s="19"/>
      <c r="I36" s="19"/>
      <c r="J36" s="19"/>
      <c r="K36" s="9">
        <f t="shared" si="5"/>
        <v>107708</v>
      </c>
      <c r="M36" s="18">
        <f>K36/$K$13</f>
        <v>1.8524079342524858E-2</v>
      </c>
      <c r="N36" s="79">
        <f t="shared" si="3"/>
        <v>8975.6666666666661</v>
      </c>
    </row>
    <row r="37" spans="1:18" ht="13.5" customHeight="1" x14ac:dyDescent="0.2">
      <c r="A37">
        <f t="shared" si="4"/>
        <v>28</v>
      </c>
      <c r="C37" s="13" t="s">
        <v>42</v>
      </c>
      <c r="F37" s="19"/>
      <c r="G37" s="20">
        <f>SUM(G35:G36)</f>
        <v>4173785</v>
      </c>
      <c r="H37" s="19"/>
      <c r="I37" s="20">
        <f>SUM(I25:I36)</f>
        <v>0</v>
      </c>
      <c r="J37" s="20">
        <f>SUM(J25:J36)</f>
        <v>0</v>
      </c>
      <c r="K37" s="20">
        <f>SUM(K35:K36)</f>
        <v>4173785</v>
      </c>
      <c r="M37" s="48">
        <f t="shared" si="6"/>
        <v>0.71782527294760023</v>
      </c>
      <c r="N37" s="77"/>
      <c r="P37" s="19"/>
    </row>
    <row r="38" spans="1:18" x14ac:dyDescent="0.2">
      <c r="A38">
        <f t="shared" si="4"/>
        <v>29</v>
      </c>
      <c r="C38" s="13"/>
      <c r="G38" s="19"/>
      <c r="H38" s="19"/>
      <c r="N38" s="77"/>
      <c r="R38" s="19"/>
    </row>
    <row r="39" spans="1:18" x14ac:dyDescent="0.2">
      <c r="A39">
        <f t="shared" si="4"/>
        <v>30</v>
      </c>
      <c r="B39" s="17" t="s">
        <v>43</v>
      </c>
      <c r="N39" s="77"/>
    </row>
    <row r="40" spans="1:18" x14ac:dyDescent="0.2">
      <c r="A40">
        <f t="shared" si="4"/>
        <v>31</v>
      </c>
      <c r="C40" t="s">
        <v>44</v>
      </c>
      <c r="F40" s="49"/>
      <c r="G40" s="21">
        <v>72473</v>
      </c>
      <c r="H40" s="21"/>
      <c r="I40" s="21"/>
      <c r="J40" s="21"/>
      <c r="K40" s="9">
        <f t="shared" ref="K40:K49" si="7">G40+I40</f>
        <v>72473</v>
      </c>
      <c r="M40" s="18">
        <f t="shared" ref="M40:M49" si="8">K40/$K$13</f>
        <v>1.2464214377676719E-2</v>
      </c>
      <c r="N40" s="79">
        <f t="shared" ref="N40:N49" si="9">K40/12</f>
        <v>6039.416666666667</v>
      </c>
    </row>
    <row r="41" spans="1:18" x14ac:dyDescent="0.2">
      <c r="A41">
        <f t="shared" si="4"/>
        <v>32</v>
      </c>
      <c r="C41" s="58" t="s">
        <v>45</v>
      </c>
      <c r="F41" s="49"/>
      <c r="G41" s="21">
        <v>75000</v>
      </c>
      <c r="H41" s="21"/>
      <c r="I41" s="21"/>
      <c r="J41" s="21"/>
      <c r="K41" s="9">
        <f t="shared" si="7"/>
        <v>75000</v>
      </c>
      <c r="M41" s="18"/>
      <c r="N41" s="79"/>
    </row>
    <row r="42" spans="1:18" x14ac:dyDescent="0.2">
      <c r="A42">
        <f t="shared" si="4"/>
        <v>33</v>
      </c>
      <c r="C42" s="58" t="s">
        <v>46</v>
      </c>
      <c r="F42" s="49"/>
      <c r="G42" s="21">
        <v>75000</v>
      </c>
      <c r="H42" s="21"/>
      <c r="I42" s="21"/>
      <c r="J42" s="21"/>
      <c r="K42" s="9">
        <f t="shared" si="7"/>
        <v>75000</v>
      </c>
      <c r="M42" s="18"/>
      <c r="N42" s="79"/>
    </row>
    <row r="43" spans="1:18" x14ac:dyDescent="0.2">
      <c r="A43">
        <f t="shared" si="4"/>
        <v>34</v>
      </c>
      <c r="C43" t="s">
        <v>47</v>
      </c>
      <c r="F43" s="49"/>
      <c r="G43" s="21">
        <v>13500</v>
      </c>
      <c r="H43" s="21"/>
      <c r="I43" s="21"/>
      <c r="J43" s="21"/>
      <c r="K43" s="9">
        <f t="shared" si="7"/>
        <v>13500</v>
      </c>
      <c r="M43" s="18"/>
      <c r="N43" s="79"/>
    </row>
    <row r="44" spans="1:18" x14ac:dyDescent="0.2">
      <c r="A44">
        <f t="shared" si="4"/>
        <v>35</v>
      </c>
      <c r="C44" t="s">
        <v>48</v>
      </c>
      <c r="F44" s="49"/>
      <c r="G44" s="21">
        <v>50000</v>
      </c>
      <c r="H44" s="21"/>
      <c r="I44" s="21"/>
      <c r="J44" s="21"/>
      <c r="K44" s="9">
        <f t="shared" si="7"/>
        <v>50000</v>
      </c>
      <c r="M44" s="18"/>
      <c r="N44" s="79"/>
    </row>
    <row r="45" spans="1:18" x14ac:dyDescent="0.2">
      <c r="A45">
        <f t="shared" si="4"/>
        <v>36</v>
      </c>
      <c r="C45" s="58" t="s">
        <v>49</v>
      </c>
      <c r="F45" s="49"/>
      <c r="G45" s="21">
        <v>20250</v>
      </c>
      <c r="H45" s="21"/>
      <c r="I45" s="21"/>
      <c r="J45" s="21"/>
      <c r="K45" s="9">
        <f t="shared" si="7"/>
        <v>20250</v>
      </c>
      <c r="M45" s="18">
        <f t="shared" si="8"/>
        <v>3.4826810142805399E-3</v>
      </c>
      <c r="N45" s="79">
        <f t="shared" si="9"/>
        <v>1687.5</v>
      </c>
    </row>
    <row r="46" spans="1:18" x14ac:dyDescent="0.2">
      <c r="A46">
        <f t="shared" si="4"/>
        <v>37</v>
      </c>
      <c r="C46" s="58" t="s">
        <v>50</v>
      </c>
      <c r="F46" s="49"/>
      <c r="G46" s="21">
        <v>54309</v>
      </c>
      <c r="H46" s="21"/>
      <c r="I46" s="21"/>
      <c r="J46" s="21"/>
      <c r="K46" s="9">
        <f t="shared" si="7"/>
        <v>54309</v>
      </c>
      <c r="M46" s="18">
        <f t="shared" si="8"/>
        <v>9.3402925039289802E-3</v>
      </c>
      <c r="N46" s="79">
        <f t="shared" si="9"/>
        <v>4525.75</v>
      </c>
    </row>
    <row r="47" spans="1:18" x14ac:dyDescent="0.2">
      <c r="A47">
        <f t="shared" si="4"/>
        <v>38</v>
      </c>
      <c r="C47" s="58" t="s">
        <v>51</v>
      </c>
      <c r="G47" s="154">
        <v>236058</v>
      </c>
      <c r="H47" s="21"/>
      <c r="I47" s="21"/>
      <c r="J47" s="21"/>
      <c r="K47" s="9">
        <f t="shared" si="7"/>
        <v>236058</v>
      </c>
      <c r="M47" s="18">
        <f t="shared" si="8"/>
        <v>4.0598257524396823E-2</v>
      </c>
      <c r="N47" s="79">
        <f t="shared" si="9"/>
        <v>19671.5</v>
      </c>
    </row>
    <row r="48" spans="1:18" x14ac:dyDescent="0.2">
      <c r="A48">
        <f t="shared" si="4"/>
        <v>39</v>
      </c>
      <c r="C48" t="s">
        <v>52</v>
      </c>
      <c r="F48" s="49"/>
      <c r="G48" s="21">
        <v>145934</v>
      </c>
      <c r="H48" s="21"/>
      <c r="I48" s="21"/>
      <c r="J48" s="21"/>
      <c r="K48" s="9">
        <f t="shared" si="7"/>
        <v>145934</v>
      </c>
      <c r="M48" s="18">
        <f t="shared" si="8"/>
        <v>2.5098349192000807E-2</v>
      </c>
      <c r="N48" s="79">
        <f t="shared" si="9"/>
        <v>12161.166666666666</v>
      </c>
    </row>
    <row r="49" spans="1:15" x14ac:dyDescent="0.2">
      <c r="A49">
        <f t="shared" si="4"/>
        <v>40</v>
      </c>
      <c r="C49" s="58" t="s">
        <v>53</v>
      </c>
      <c r="G49" s="21">
        <v>0</v>
      </c>
      <c r="I49" s="33"/>
      <c r="K49" s="9">
        <f t="shared" si="7"/>
        <v>0</v>
      </c>
      <c r="M49" s="18">
        <f t="shared" si="8"/>
        <v>0</v>
      </c>
      <c r="N49" s="79">
        <f t="shared" si="9"/>
        <v>0</v>
      </c>
    </row>
    <row r="50" spans="1:15" ht="13.5" customHeight="1" x14ac:dyDescent="0.2">
      <c r="A50">
        <f t="shared" si="4"/>
        <v>41</v>
      </c>
      <c r="C50" s="13" t="s">
        <v>54</v>
      </c>
      <c r="G50" s="20">
        <f>SUM(G40:G49)</f>
        <v>742524</v>
      </c>
      <c r="H50" s="19"/>
      <c r="I50" s="20">
        <f>SUM(I40:I49)</f>
        <v>0</v>
      </c>
      <c r="J50" s="20">
        <f>SUM(J40:J49)</f>
        <v>0</v>
      </c>
      <c r="K50" s="20">
        <f>SUM(K40:K49)</f>
        <v>742524</v>
      </c>
      <c r="M50" s="48">
        <f>K50/$K$13</f>
        <v>0.12770243147889598</v>
      </c>
      <c r="N50" s="77"/>
    </row>
    <row r="51" spans="1:15" x14ac:dyDescent="0.2">
      <c r="A51">
        <f t="shared" si="4"/>
        <v>42</v>
      </c>
      <c r="C51" s="13"/>
      <c r="N51" s="77"/>
    </row>
    <row r="52" spans="1:15" x14ac:dyDescent="0.2">
      <c r="A52">
        <f t="shared" si="4"/>
        <v>43</v>
      </c>
      <c r="B52" s="17" t="s">
        <v>55</v>
      </c>
      <c r="N52" s="77"/>
    </row>
    <row r="53" spans="1:15" x14ac:dyDescent="0.2">
      <c r="A53">
        <f t="shared" si="4"/>
        <v>44</v>
      </c>
      <c r="C53" t="s">
        <v>56</v>
      </c>
      <c r="G53" s="9">
        <v>50000</v>
      </c>
      <c r="H53" s="9"/>
      <c r="I53" s="9"/>
      <c r="J53" s="9"/>
      <c r="K53" s="9">
        <f t="shared" ref="K53:K61" si="10">G53+I53</f>
        <v>50000</v>
      </c>
      <c r="M53" s="18">
        <f t="shared" ref="M53:M60" si="11">K53/$K$13</f>
        <v>8.5992123809396047E-3</v>
      </c>
      <c r="N53" s="79">
        <f t="shared" ref="N53:N60" si="12">K53/12</f>
        <v>4166.666666666667</v>
      </c>
      <c r="O53" s="58"/>
    </row>
    <row r="54" spans="1:15" x14ac:dyDescent="0.2">
      <c r="A54">
        <f>A53+1</f>
        <v>45</v>
      </c>
      <c r="C54" s="58" t="s">
        <v>57</v>
      </c>
      <c r="G54" s="9">
        <v>0</v>
      </c>
      <c r="H54" s="9"/>
      <c r="I54" s="9"/>
      <c r="J54" s="9"/>
      <c r="K54" s="9">
        <f t="shared" si="10"/>
        <v>0</v>
      </c>
      <c r="M54" s="18">
        <f t="shared" si="11"/>
        <v>0</v>
      </c>
      <c r="N54" s="79">
        <f t="shared" si="12"/>
        <v>0</v>
      </c>
    </row>
    <row r="55" spans="1:15" x14ac:dyDescent="0.2">
      <c r="A55">
        <f t="shared" si="4"/>
        <v>46</v>
      </c>
      <c r="C55" t="s">
        <v>58</v>
      </c>
      <c r="G55" s="9">
        <v>9500</v>
      </c>
      <c r="H55" s="9"/>
      <c r="I55" s="9"/>
      <c r="J55" s="9"/>
      <c r="K55" s="9">
        <f t="shared" si="10"/>
        <v>9500</v>
      </c>
      <c r="M55" s="18">
        <f t="shared" si="11"/>
        <v>1.6338503523785249E-3</v>
      </c>
      <c r="N55" s="79">
        <f t="shared" si="12"/>
        <v>791.66666666666663</v>
      </c>
    </row>
    <row r="56" spans="1:15" x14ac:dyDescent="0.2">
      <c r="A56">
        <f t="shared" si="4"/>
        <v>47</v>
      </c>
      <c r="C56" t="s">
        <v>59</v>
      </c>
      <c r="G56" s="9">
        <v>0</v>
      </c>
      <c r="H56" s="9"/>
      <c r="I56" s="9"/>
      <c r="J56" s="9"/>
      <c r="K56" s="9">
        <f t="shared" si="10"/>
        <v>0</v>
      </c>
      <c r="M56" s="18">
        <f t="shared" si="11"/>
        <v>0</v>
      </c>
      <c r="N56" s="79">
        <f t="shared" si="12"/>
        <v>0</v>
      </c>
    </row>
    <row r="57" spans="1:15" x14ac:dyDescent="0.2">
      <c r="A57">
        <f t="shared" si="4"/>
        <v>48</v>
      </c>
      <c r="C57" t="s">
        <v>60</v>
      </c>
      <c r="G57" s="9">
        <v>60000</v>
      </c>
      <c r="H57" s="9"/>
      <c r="I57" s="9"/>
      <c r="J57" s="9"/>
      <c r="K57" s="9">
        <f t="shared" si="10"/>
        <v>60000</v>
      </c>
      <c r="M57" s="18">
        <f t="shared" si="11"/>
        <v>1.0319054857127526E-2</v>
      </c>
      <c r="N57" s="79">
        <f t="shared" si="12"/>
        <v>5000</v>
      </c>
    </row>
    <row r="58" spans="1:15" x14ac:dyDescent="0.2">
      <c r="A58">
        <f t="shared" si="4"/>
        <v>49</v>
      </c>
      <c r="C58" t="s">
        <v>61</v>
      </c>
      <c r="G58" s="9">
        <v>34500</v>
      </c>
      <c r="H58" s="9"/>
      <c r="I58" s="9"/>
      <c r="J58" s="9"/>
      <c r="K58" s="9">
        <f t="shared" si="10"/>
        <v>34500</v>
      </c>
      <c r="M58" s="18">
        <f t="shared" si="11"/>
        <v>5.9334565428483272E-3</v>
      </c>
      <c r="N58" s="79">
        <f t="shared" si="12"/>
        <v>2875</v>
      </c>
    </row>
    <row r="59" spans="1:15" x14ac:dyDescent="0.2">
      <c r="A59">
        <f t="shared" si="4"/>
        <v>50</v>
      </c>
      <c r="C59" t="s">
        <v>62</v>
      </c>
      <c r="G59" s="9">
        <v>0</v>
      </c>
      <c r="H59" s="9"/>
      <c r="I59" s="9"/>
      <c r="J59" s="9"/>
      <c r="K59" s="9">
        <f t="shared" si="10"/>
        <v>0</v>
      </c>
      <c r="M59" s="18">
        <f t="shared" si="11"/>
        <v>0</v>
      </c>
      <c r="N59" s="79">
        <f t="shared" si="12"/>
        <v>0</v>
      </c>
    </row>
    <row r="60" spans="1:15" x14ac:dyDescent="0.2">
      <c r="A60">
        <f t="shared" si="4"/>
        <v>51</v>
      </c>
      <c r="C60" t="s">
        <v>63</v>
      </c>
      <c r="G60" s="9">
        <v>120000</v>
      </c>
      <c r="H60" s="9"/>
      <c r="I60" s="9"/>
      <c r="J60" s="9"/>
      <c r="K60" s="9">
        <f t="shared" si="10"/>
        <v>120000</v>
      </c>
      <c r="M60" s="18">
        <f t="shared" si="11"/>
        <v>2.0638109714255053E-2</v>
      </c>
      <c r="N60" s="79">
        <f t="shared" si="12"/>
        <v>10000</v>
      </c>
    </row>
    <row r="61" spans="1:15" ht="11.25" customHeight="1" x14ac:dyDescent="0.2">
      <c r="A61">
        <f t="shared" si="4"/>
        <v>52</v>
      </c>
      <c r="C61" t="s">
        <v>64</v>
      </c>
      <c r="G61" s="155">
        <f>671345-50000</f>
        <v>621345</v>
      </c>
      <c r="K61" s="9">
        <f t="shared" si="10"/>
        <v>621345</v>
      </c>
      <c r="N61" s="77"/>
    </row>
    <row r="62" spans="1:15" ht="13.5" customHeight="1" x14ac:dyDescent="0.2">
      <c r="A62">
        <f t="shared" si="4"/>
        <v>53</v>
      </c>
      <c r="C62" s="13" t="s">
        <v>65</v>
      </c>
      <c r="G62" s="20">
        <f>SUM(G53:G61)</f>
        <v>895345</v>
      </c>
      <c r="H62" s="19"/>
      <c r="I62" s="20">
        <f>SUM(I53:I61)</f>
        <v>0</v>
      </c>
      <c r="J62" s="20">
        <f>SUM(J54:J61)</f>
        <v>0</v>
      </c>
      <c r="K62" s="20">
        <f>SUM(K53:K61)</f>
        <v>895345</v>
      </c>
      <c r="M62" s="48">
        <f>K62/$K$13</f>
        <v>0.15398523618424742</v>
      </c>
      <c r="N62" s="77"/>
    </row>
    <row r="63" spans="1:15" x14ac:dyDescent="0.2">
      <c r="A63">
        <f t="shared" si="4"/>
        <v>54</v>
      </c>
      <c r="N63" s="77"/>
    </row>
    <row r="64" spans="1:15" x14ac:dyDescent="0.2">
      <c r="A64">
        <f t="shared" si="4"/>
        <v>55</v>
      </c>
      <c r="B64" s="17" t="s">
        <v>66</v>
      </c>
      <c r="N64" s="77"/>
    </row>
    <row r="65" spans="1:14" x14ac:dyDescent="0.2">
      <c r="A65">
        <f t="shared" si="4"/>
        <v>56</v>
      </c>
      <c r="C65" t="s">
        <v>67</v>
      </c>
      <c r="G65" s="33">
        <v>13080</v>
      </c>
      <c r="H65" s="9"/>
      <c r="I65" s="9"/>
      <c r="J65" s="9"/>
      <c r="K65" s="9">
        <f>G65+I65</f>
        <v>13080</v>
      </c>
      <c r="M65" s="18">
        <f>K65/$K$13</f>
        <v>2.2495539588538007E-3</v>
      </c>
      <c r="N65" s="79">
        <f>K65/12</f>
        <v>1090</v>
      </c>
    </row>
    <row r="66" spans="1:14" x14ac:dyDescent="0.2">
      <c r="A66">
        <f t="shared" si="4"/>
        <v>57</v>
      </c>
      <c r="C66" t="s">
        <v>68</v>
      </c>
      <c r="G66" s="33">
        <v>0</v>
      </c>
      <c r="H66" s="9"/>
      <c r="I66" s="9"/>
      <c r="J66" s="9"/>
      <c r="K66" s="9">
        <f>G66+I66</f>
        <v>0</v>
      </c>
      <c r="M66" s="18">
        <f>K66/$K$13</f>
        <v>0</v>
      </c>
      <c r="N66" s="79">
        <f>K66/12</f>
        <v>0</v>
      </c>
    </row>
    <row r="67" spans="1:14" x14ac:dyDescent="0.2">
      <c r="A67">
        <f t="shared" si="4"/>
        <v>58</v>
      </c>
      <c r="C67" t="s">
        <v>69</v>
      </c>
      <c r="G67" s="33">
        <v>1100</v>
      </c>
      <c r="H67" s="9"/>
      <c r="I67" s="9"/>
      <c r="J67" s="9"/>
      <c r="K67" s="9">
        <f>G67+I67</f>
        <v>1100</v>
      </c>
      <c r="M67" s="18">
        <f>K67/$K$13</f>
        <v>1.891826723806713E-4</v>
      </c>
      <c r="N67" s="79">
        <f>K67/12</f>
        <v>91.666666666666671</v>
      </c>
    </row>
    <row r="68" spans="1:14" x14ac:dyDescent="0.2">
      <c r="A68">
        <f t="shared" si="4"/>
        <v>59</v>
      </c>
      <c r="C68" s="58" t="s">
        <v>70</v>
      </c>
      <c r="G68" s="33">
        <v>36120</v>
      </c>
      <c r="H68" s="9"/>
      <c r="I68" s="9"/>
      <c r="J68" s="9"/>
      <c r="K68" s="9">
        <f>G68+I68</f>
        <v>36120</v>
      </c>
      <c r="M68" s="18">
        <f>K68/$K$13</f>
        <v>6.2120710239907707E-3</v>
      </c>
      <c r="N68" s="79">
        <f>K68/12</f>
        <v>3010</v>
      </c>
    </row>
    <row r="69" spans="1:14" x14ac:dyDescent="0.2">
      <c r="A69">
        <f t="shared" si="4"/>
        <v>60</v>
      </c>
      <c r="C69" t="s">
        <v>71</v>
      </c>
      <c r="G69" s="61">
        <v>9468</v>
      </c>
      <c r="H69" s="9"/>
      <c r="I69" s="9"/>
      <c r="J69" s="9"/>
      <c r="K69" s="9">
        <f t="shared" ref="K69:K78" si="13">G69+I69</f>
        <v>9468</v>
      </c>
      <c r="M69" s="18">
        <f>K75/$K$13</f>
        <v>6.8793699047516839E-3</v>
      </c>
      <c r="N69" s="79">
        <f>K75/12</f>
        <v>3333.3333333333335</v>
      </c>
    </row>
    <row r="70" spans="1:14" x14ac:dyDescent="0.2">
      <c r="A70">
        <f t="shared" si="4"/>
        <v>61</v>
      </c>
      <c r="C70" t="s">
        <v>72</v>
      </c>
      <c r="G70" s="33">
        <v>531</v>
      </c>
      <c r="H70" s="9"/>
      <c r="I70" s="9"/>
      <c r="J70" s="9"/>
      <c r="K70" s="9">
        <f t="shared" si="13"/>
        <v>531</v>
      </c>
      <c r="M70" s="18">
        <f>K76/$K$13</f>
        <v>5.4175037999919509E-3</v>
      </c>
      <c r="N70" s="79">
        <f>K76/12</f>
        <v>2625</v>
      </c>
    </row>
    <row r="71" spans="1:14" x14ac:dyDescent="0.2">
      <c r="A71">
        <f t="shared" si="4"/>
        <v>62</v>
      </c>
      <c r="C71" s="58" t="s">
        <v>73</v>
      </c>
      <c r="G71" s="33">
        <v>10000</v>
      </c>
      <c r="K71" s="9">
        <f t="shared" si="13"/>
        <v>10000</v>
      </c>
      <c r="M71" s="18">
        <f>K69/$K$13</f>
        <v>1.6283468564547237E-3</v>
      </c>
      <c r="N71" s="79">
        <f>K69/12</f>
        <v>789</v>
      </c>
    </row>
    <row r="72" spans="1:14" ht="12.75" hidden="1" customHeight="1" x14ac:dyDescent="0.2">
      <c r="C72" s="58" t="s">
        <v>74</v>
      </c>
      <c r="G72" s="33">
        <v>0</v>
      </c>
      <c r="K72" s="9">
        <f t="shared" si="13"/>
        <v>0</v>
      </c>
      <c r="M72" s="18"/>
      <c r="N72" s="79"/>
    </row>
    <row r="73" spans="1:14" x14ac:dyDescent="0.2">
      <c r="A73">
        <f>A71+1</f>
        <v>63</v>
      </c>
      <c r="C73" s="58" t="s">
        <v>75</v>
      </c>
      <c r="G73" s="33">
        <v>100</v>
      </c>
      <c r="K73" s="9">
        <f t="shared" si="13"/>
        <v>100</v>
      </c>
      <c r="M73" s="18">
        <f>K70/$K$13</f>
        <v>9.1323635485578608E-5</v>
      </c>
      <c r="N73" s="79">
        <f>K70/12</f>
        <v>44.25</v>
      </c>
    </row>
    <row r="74" spans="1:14" x14ac:dyDescent="0.2">
      <c r="A74">
        <f t="shared" si="4"/>
        <v>64</v>
      </c>
      <c r="C74" s="58" t="s">
        <v>76</v>
      </c>
      <c r="G74" s="33">
        <v>2403</v>
      </c>
      <c r="K74" s="9">
        <f t="shared" si="13"/>
        <v>2403</v>
      </c>
      <c r="M74" s="18"/>
      <c r="N74" s="79"/>
    </row>
    <row r="75" spans="1:14" x14ac:dyDescent="0.2">
      <c r="A75">
        <f t="shared" si="4"/>
        <v>65</v>
      </c>
      <c r="C75" t="s">
        <v>77</v>
      </c>
      <c r="G75" s="33">
        <v>40000</v>
      </c>
      <c r="H75" s="9"/>
      <c r="I75" s="9"/>
      <c r="J75" s="9"/>
      <c r="K75" s="9">
        <f t="shared" si="13"/>
        <v>40000</v>
      </c>
      <c r="M75" s="18"/>
      <c r="N75" s="79"/>
    </row>
    <row r="76" spans="1:14" x14ac:dyDescent="0.2">
      <c r="A76">
        <f t="shared" si="4"/>
        <v>66</v>
      </c>
      <c r="C76" t="s">
        <v>78</v>
      </c>
      <c r="G76" s="33">
        <v>31500</v>
      </c>
      <c r="H76" s="9"/>
      <c r="I76" s="9"/>
      <c r="J76" s="9"/>
      <c r="K76" s="9">
        <f t="shared" si="13"/>
        <v>31500</v>
      </c>
      <c r="M76" s="18"/>
      <c r="N76" s="79"/>
    </row>
    <row r="77" spans="1:14" x14ac:dyDescent="0.2">
      <c r="A77">
        <f t="shared" si="4"/>
        <v>67</v>
      </c>
      <c r="C77" t="s">
        <v>79</v>
      </c>
      <c r="G77" s="33">
        <v>0</v>
      </c>
      <c r="H77" s="9"/>
      <c r="I77" s="9"/>
      <c r="J77" s="9"/>
      <c r="K77" s="9">
        <f t="shared" si="13"/>
        <v>0</v>
      </c>
      <c r="M77" s="18"/>
      <c r="N77" s="79"/>
    </row>
    <row r="78" spans="1:14" x14ac:dyDescent="0.2">
      <c r="A78">
        <f t="shared" si="4"/>
        <v>68</v>
      </c>
      <c r="C78" s="58" t="s">
        <v>80</v>
      </c>
      <c r="G78" s="33">
        <v>0</v>
      </c>
      <c r="K78" s="9">
        <f t="shared" si="13"/>
        <v>0</v>
      </c>
      <c r="M78" s="18">
        <f>K78/$K$13</f>
        <v>0</v>
      </c>
      <c r="N78" s="79">
        <f>K78/12</f>
        <v>0</v>
      </c>
    </row>
    <row r="79" spans="1:14" ht="13.5" customHeight="1" x14ac:dyDescent="0.2">
      <c r="A79">
        <f t="shared" si="4"/>
        <v>69</v>
      </c>
      <c r="C79" s="13" t="s">
        <v>81</v>
      </c>
      <c r="G79" s="20">
        <f>SUM(G65:G78)</f>
        <v>144302</v>
      </c>
      <c r="H79" s="19"/>
      <c r="I79" s="20">
        <f>SUM(I65:I78)</f>
        <v>0</v>
      </c>
      <c r="J79" s="20">
        <f>SUM(J65:J78)</f>
        <v>0</v>
      </c>
      <c r="K79" s="20">
        <f>SUM(K65:K78)</f>
        <v>144302</v>
      </c>
      <c r="M79" s="48">
        <f>K79/$K$13</f>
        <v>2.4817670899886939E-2</v>
      </c>
      <c r="N79" s="77"/>
    </row>
    <row r="80" spans="1:14" x14ac:dyDescent="0.2">
      <c r="A80">
        <f t="shared" si="4"/>
        <v>70</v>
      </c>
      <c r="N80" s="77"/>
    </row>
    <row r="81" spans="1:15" x14ac:dyDescent="0.2">
      <c r="A81">
        <f t="shared" si="4"/>
        <v>71</v>
      </c>
      <c r="B81" s="17" t="s">
        <v>82</v>
      </c>
      <c r="N81" s="77"/>
    </row>
    <row r="82" spans="1:15" x14ac:dyDescent="0.2">
      <c r="A82">
        <f t="shared" si="4"/>
        <v>72</v>
      </c>
      <c r="C82" t="s">
        <v>83</v>
      </c>
      <c r="G82" s="9">
        <v>40000</v>
      </c>
      <c r="H82" s="9"/>
      <c r="I82" s="9"/>
      <c r="J82" s="9"/>
      <c r="K82" s="9">
        <f t="shared" ref="K82:K92" si="14">G82+I82</f>
        <v>40000</v>
      </c>
      <c r="M82" s="18">
        <f t="shared" ref="M82:M92" si="15">K82/$K$13</f>
        <v>6.8793699047516839E-3</v>
      </c>
      <c r="N82" s="79">
        <f t="shared" ref="N82:N92" si="16">K82/12</f>
        <v>3333.3333333333335</v>
      </c>
    </row>
    <row r="83" spans="1:15" x14ac:dyDescent="0.2">
      <c r="A83">
        <f t="shared" si="4"/>
        <v>73</v>
      </c>
      <c r="C83" t="s">
        <v>84</v>
      </c>
      <c r="G83" s="9">
        <v>500</v>
      </c>
      <c r="H83" s="9"/>
      <c r="I83" s="9"/>
      <c r="J83" s="9"/>
      <c r="K83" s="9">
        <f t="shared" si="14"/>
        <v>500</v>
      </c>
      <c r="M83" s="18"/>
      <c r="N83" s="79"/>
    </row>
    <row r="84" spans="1:15" x14ac:dyDescent="0.2">
      <c r="A84">
        <f t="shared" si="4"/>
        <v>74</v>
      </c>
      <c r="C84" t="s">
        <v>85</v>
      </c>
      <c r="G84" s="9">
        <v>42762</v>
      </c>
      <c r="H84" s="9"/>
      <c r="I84" s="9"/>
      <c r="J84" s="9"/>
      <c r="K84" s="9">
        <f t="shared" si="14"/>
        <v>42762</v>
      </c>
      <c r="M84" s="18"/>
      <c r="N84" s="79"/>
    </row>
    <row r="85" spans="1:15" x14ac:dyDescent="0.2">
      <c r="A85">
        <f t="shared" si="4"/>
        <v>75</v>
      </c>
      <c r="C85" s="58" t="s">
        <v>86</v>
      </c>
      <c r="G85" s="9">
        <v>15000</v>
      </c>
      <c r="H85" s="9"/>
      <c r="I85" s="9"/>
      <c r="J85" s="9"/>
      <c r="K85" s="9">
        <f t="shared" si="14"/>
        <v>15000</v>
      </c>
      <c r="M85" s="18">
        <f>K85/$K$13</f>
        <v>2.5797637142818816E-3</v>
      </c>
      <c r="N85" s="79">
        <f t="shared" si="16"/>
        <v>1250</v>
      </c>
    </row>
    <row r="86" spans="1:15" x14ac:dyDescent="0.2">
      <c r="A86">
        <f t="shared" si="4"/>
        <v>76</v>
      </c>
      <c r="C86" s="58" t="s">
        <v>87</v>
      </c>
      <c r="G86" s="9">
        <v>12763</v>
      </c>
      <c r="H86" s="9"/>
      <c r="I86" s="9"/>
      <c r="J86" s="9"/>
      <c r="K86" s="9">
        <f t="shared" si="14"/>
        <v>12763</v>
      </c>
      <c r="M86" s="18">
        <f t="shared" si="15"/>
        <v>2.1950349523586436E-3</v>
      </c>
      <c r="N86" s="79">
        <f t="shared" si="16"/>
        <v>1063.5833333333333</v>
      </c>
    </row>
    <row r="87" spans="1:15" x14ac:dyDescent="0.2">
      <c r="A87">
        <f t="shared" si="4"/>
        <v>77</v>
      </c>
      <c r="C87" s="58" t="s">
        <v>88</v>
      </c>
      <c r="G87" s="9">
        <v>125000</v>
      </c>
      <c r="H87" s="9"/>
      <c r="I87" s="9"/>
      <c r="J87" s="9"/>
      <c r="K87" s="9">
        <f t="shared" si="14"/>
        <v>125000</v>
      </c>
      <c r="M87" s="18">
        <f t="shared" si="15"/>
        <v>2.1498030952349013E-2</v>
      </c>
      <c r="N87" s="79">
        <f t="shared" si="16"/>
        <v>10416.666666666666</v>
      </c>
    </row>
    <row r="88" spans="1:15" x14ac:dyDescent="0.2">
      <c r="A88">
        <f t="shared" si="4"/>
        <v>78</v>
      </c>
      <c r="C88" s="58" t="s">
        <v>89</v>
      </c>
      <c r="G88" s="9">
        <v>0</v>
      </c>
      <c r="H88" s="9"/>
      <c r="I88" s="9"/>
      <c r="J88" s="9"/>
      <c r="K88" s="9">
        <f t="shared" si="14"/>
        <v>0</v>
      </c>
      <c r="M88" s="18">
        <f t="shared" si="15"/>
        <v>0</v>
      </c>
      <c r="N88" s="79">
        <f t="shared" si="16"/>
        <v>0</v>
      </c>
      <c r="O88" s="43"/>
    </row>
    <row r="89" spans="1:15" x14ac:dyDescent="0.2">
      <c r="A89">
        <f t="shared" si="4"/>
        <v>79</v>
      </c>
      <c r="C89" s="58" t="s">
        <v>90</v>
      </c>
      <c r="G89" s="9">
        <v>0</v>
      </c>
      <c r="H89" s="9"/>
      <c r="I89" s="9"/>
      <c r="J89" s="9"/>
      <c r="K89" s="9">
        <f t="shared" si="14"/>
        <v>0</v>
      </c>
      <c r="M89" s="18">
        <f t="shared" si="15"/>
        <v>0</v>
      </c>
      <c r="N89" s="79">
        <f t="shared" si="16"/>
        <v>0</v>
      </c>
    </row>
    <row r="90" spans="1:15" x14ac:dyDescent="0.2">
      <c r="A90">
        <f t="shared" ref="A90:A100" si="17">A89+1</f>
        <v>80</v>
      </c>
      <c r="C90" s="58" t="s">
        <v>91</v>
      </c>
      <c r="G90" s="9">
        <v>5365</v>
      </c>
      <c r="H90" s="9"/>
      <c r="I90" s="9"/>
      <c r="J90" s="9"/>
      <c r="K90" s="9">
        <f t="shared" si="14"/>
        <v>5365</v>
      </c>
      <c r="M90" s="18">
        <f t="shared" si="15"/>
        <v>9.2269548847481958E-4</v>
      </c>
      <c r="N90" s="79">
        <f t="shared" si="16"/>
        <v>447.08333333333331</v>
      </c>
    </row>
    <row r="91" spans="1:15" x14ac:dyDescent="0.2">
      <c r="A91">
        <f t="shared" si="17"/>
        <v>81</v>
      </c>
      <c r="C91" s="58" t="s">
        <v>92</v>
      </c>
      <c r="G91" s="9">
        <v>10713</v>
      </c>
      <c r="H91" s="9"/>
      <c r="I91" s="102"/>
      <c r="J91" s="9"/>
      <c r="K91" s="9">
        <f t="shared" si="14"/>
        <v>10713</v>
      </c>
      <c r="M91" s="18">
        <f t="shared" si="15"/>
        <v>1.8424672447401199E-3</v>
      </c>
      <c r="N91" s="79">
        <f t="shared" si="16"/>
        <v>892.75</v>
      </c>
    </row>
    <row r="92" spans="1:15" x14ac:dyDescent="0.2">
      <c r="A92">
        <f t="shared" si="17"/>
        <v>82</v>
      </c>
      <c r="C92" s="58" t="s">
        <v>93</v>
      </c>
      <c r="G92" s="61">
        <v>0</v>
      </c>
      <c r="K92" s="9">
        <f t="shared" si="14"/>
        <v>0</v>
      </c>
      <c r="M92" s="18">
        <f t="shared" si="15"/>
        <v>0</v>
      </c>
      <c r="N92" s="79">
        <f t="shared" si="16"/>
        <v>0</v>
      </c>
    </row>
    <row r="93" spans="1:15" ht="13.5" customHeight="1" x14ac:dyDescent="0.2">
      <c r="A93">
        <f t="shared" si="17"/>
        <v>83</v>
      </c>
      <c r="C93" s="13" t="s">
        <v>94</v>
      </c>
      <c r="G93" s="20">
        <f>SUM(G82:G92)</f>
        <v>252103</v>
      </c>
      <c r="H93" s="19"/>
      <c r="I93" s="20">
        <f>SUM(I82:I92)</f>
        <v>0</v>
      </c>
      <c r="J93" s="20">
        <f>SUM(J82:J92)</f>
        <v>0</v>
      </c>
      <c r="K93" s="20">
        <f>SUM(K82:K92)</f>
        <v>252103</v>
      </c>
      <c r="M93" s="48">
        <f>K93/$K$13</f>
        <v>4.3357744777440345E-2</v>
      </c>
      <c r="N93" s="77"/>
    </row>
    <row r="94" spans="1:15" ht="13.5" customHeight="1" x14ac:dyDescent="0.2">
      <c r="A94">
        <f t="shared" si="17"/>
        <v>84</v>
      </c>
      <c r="N94" s="77"/>
    </row>
    <row r="95" spans="1:15" ht="13.5" customHeight="1" x14ac:dyDescent="0.2">
      <c r="A95">
        <f t="shared" si="17"/>
        <v>85</v>
      </c>
      <c r="C95" s="13" t="s">
        <v>95</v>
      </c>
      <c r="G95" s="15">
        <f>G37+G50+G62+G79+G93</f>
        <v>6208059</v>
      </c>
      <c r="H95" s="19"/>
      <c r="I95" s="15">
        <f>I37+I50+I62+I79+I93</f>
        <v>0</v>
      </c>
      <c r="J95" s="19"/>
      <c r="K95" s="15">
        <f>K37+K50+K62+K79+K93</f>
        <v>6208059</v>
      </c>
      <c r="M95" s="48">
        <f>K95/$K$13</f>
        <v>1.0676883562880708</v>
      </c>
      <c r="N95" s="77"/>
      <c r="O95" s="19"/>
    </row>
    <row r="96" spans="1:15" x14ac:dyDescent="0.2">
      <c r="A96">
        <f t="shared" si="17"/>
        <v>86</v>
      </c>
      <c r="N96" s="77"/>
    </row>
    <row r="97" spans="1:14" ht="13.5" customHeight="1" x14ac:dyDescent="0.2">
      <c r="A97">
        <f t="shared" si="17"/>
        <v>87</v>
      </c>
      <c r="B97" s="13" t="s">
        <v>96</v>
      </c>
      <c r="G97" s="24">
        <f>G21-G95</f>
        <v>23598</v>
      </c>
      <c r="H97" s="19"/>
      <c r="I97" s="24">
        <f>I21-I95</f>
        <v>0</v>
      </c>
      <c r="J97" s="19"/>
      <c r="K97" s="24">
        <f>K21-K95</f>
        <v>23598</v>
      </c>
      <c r="M97" s="48">
        <f>K97/$K$13</f>
        <v>4.0584842753082556E-3</v>
      </c>
      <c r="N97" s="77"/>
    </row>
    <row r="98" spans="1:14" x14ac:dyDescent="0.2">
      <c r="A98">
        <f t="shared" si="17"/>
        <v>88</v>
      </c>
      <c r="B98" s="13"/>
      <c r="G98" s="16"/>
      <c r="H98" s="19"/>
      <c r="I98" s="16"/>
      <c r="J98" s="19"/>
      <c r="K98" s="16"/>
      <c r="M98" s="82"/>
      <c r="N98" s="77"/>
    </row>
    <row r="99" spans="1:14" ht="13.9" customHeight="1" x14ac:dyDescent="0.2">
      <c r="A99">
        <f t="shared" si="17"/>
        <v>89</v>
      </c>
      <c r="B99" s="58" t="s">
        <v>97</v>
      </c>
      <c r="G99" s="16">
        <f>G13*0%</f>
        <v>0</v>
      </c>
      <c r="H99" s="19"/>
      <c r="I99" s="16"/>
      <c r="J99" s="19"/>
      <c r="K99" s="83">
        <f>G99+I99</f>
        <v>0</v>
      </c>
      <c r="N99" s="77"/>
    </row>
    <row r="100" spans="1:14" ht="18" customHeight="1" x14ac:dyDescent="0.2">
      <c r="A100">
        <f t="shared" si="17"/>
        <v>90</v>
      </c>
      <c r="B100" t="s">
        <v>98</v>
      </c>
      <c r="G100" s="20">
        <f>G97-G99</f>
        <v>23598</v>
      </c>
      <c r="K100" s="20">
        <f>K97-K99</f>
        <v>23598</v>
      </c>
      <c r="N100" s="77"/>
    </row>
  </sheetData>
  <phoneticPr fontId="0" type="noConversion"/>
  <pageMargins left="0.5" right="0.5" top="1" bottom="1" header="0.5" footer="0.5"/>
  <pageSetup scale="90" orientation="portrait" r:id="rId1"/>
  <headerFooter alignWithMargins="0"/>
  <rowBreaks count="1" manualBreakCount="1">
    <brk id="50" max="13" man="1"/>
  </rowBreaks>
  <colBreaks count="2" manualBreakCount="2">
    <brk id="11" max="96" man="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
  <sheetViews>
    <sheetView topLeftCell="A34" zoomScaleNormal="100" workbookViewId="0">
      <selection activeCell="G96" sqref="G96"/>
    </sheetView>
  </sheetViews>
  <sheetFormatPr defaultRowHeight="12.75" x14ac:dyDescent="0.2"/>
  <cols>
    <col min="1" max="1" width="4.42578125" customWidth="1"/>
    <col min="2" max="2" width="5.5703125" customWidth="1"/>
    <col min="3" max="3" width="23.42578125" customWidth="1"/>
    <col min="4" max="4" width="21" customWidth="1"/>
    <col min="5" max="5" width="11.140625" customWidth="1"/>
    <col min="6" max="7" width="12.140625" bestFit="1" customWidth="1"/>
    <col min="10" max="10" width="11.28515625" bestFit="1" customWidth="1"/>
    <col min="11" max="11" width="10.28515625" bestFit="1" customWidth="1"/>
    <col min="12" max="13" width="11.28515625" bestFit="1" customWidth="1"/>
  </cols>
  <sheetData>
    <row r="1" spans="1:7" ht="18" x14ac:dyDescent="0.25">
      <c r="A1" s="30" t="s">
        <v>100</v>
      </c>
      <c r="D1" s="1"/>
    </row>
    <row r="2" spans="1:7" ht="18" x14ac:dyDescent="0.25">
      <c r="A2" s="30" t="s">
        <v>105</v>
      </c>
      <c r="D2" s="13"/>
    </row>
    <row r="3" spans="1:7" ht="18" x14ac:dyDescent="0.25">
      <c r="A3" s="30" t="s">
        <v>106</v>
      </c>
    </row>
    <row r="4" spans="1:7" ht="18" x14ac:dyDescent="0.25">
      <c r="A4" s="30"/>
      <c r="F4" s="43">
        <v>0.5</v>
      </c>
      <c r="G4" s="43">
        <v>0.5</v>
      </c>
    </row>
    <row r="5" spans="1:7" x14ac:dyDescent="0.2">
      <c r="E5" s="72" t="s">
        <v>99</v>
      </c>
      <c r="F5" s="72" t="s">
        <v>107</v>
      </c>
      <c r="G5" s="72" t="s">
        <v>108</v>
      </c>
    </row>
    <row r="6" spans="1:7" ht="18" x14ac:dyDescent="0.25">
      <c r="A6" s="55" t="s">
        <v>109</v>
      </c>
      <c r="B6" s="32" t="s">
        <v>110</v>
      </c>
      <c r="C6" s="6"/>
      <c r="D6" s="6" t="s">
        <v>107</v>
      </c>
      <c r="E6" s="6" t="s">
        <v>111</v>
      </c>
      <c r="F6" s="6" t="s">
        <v>112</v>
      </c>
      <c r="G6" s="6" t="s">
        <v>112</v>
      </c>
    </row>
    <row r="7" spans="1:7" ht="15.75" x14ac:dyDescent="0.25">
      <c r="A7" s="64" t="s">
        <v>113</v>
      </c>
      <c r="B7" s="62"/>
      <c r="C7" s="63"/>
      <c r="D7" s="63"/>
      <c r="E7" s="26"/>
      <c r="F7" s="26"/>
    </row>
    <row r="8" spans="1:7" x14ac:dyDescent="0.2">
      <c r="A8">
        <v>1</v>
      </c>
      <c r="B8" t="s">
        <v>114</v>
      </c>
      <c r="D8" s="33" t="s">
        <v>115</v>
      </c>
      <c r="E8" s="46">
        <v>1179</v>
      </c>
      <c r="F8" s="46">
        <f>$F$4*E8</f>
        <v>589.5</v>
      </c>
      <c r="G8" s="46">
        <f>$G$4*E8</f>
        <v>589.5</v>
      </c>
    </row>
    <row r="9" spans="1:7" x14ac:dyDescent="0.2">
      <c r="A9">
        <v>2</v>
      </c>
      <c r="B9" t="s">
        <v>116</v>
      </c>
      <c r="D9" s="33" t="s">
        <v>117</v>
      </c>
      <c r="E9" s="46">
        <v>421</v>
      </c>
      <c r="F9" s="46">
        <f>$F$4*E9</f>
        <v>210.5</v>
      </c>
      <c r="G9" s="46">
        <f>$G$4*E9</f>
        <v>210.5</v>
      </c>
    </row>
    <row r="10" spans="1:7" x14ac:dyDescent="0.2">
      <c r="D10" s="33"/>
      <c r="F10" s="46"/>
      <c r="G10" s="46"/>
    </row>
    <row r="11" spans="1:7" x14ac:dyDescent="0.2">
      <c r="A11">
        <v>3</v>
      </c>
      <c r="B11" t="s">
        <v>118</v>
      </c>
      <c r="D11" s="33"/>
      <c r="E11">
        <v>0</v>
      </c>
      <c r="F11" s="46">
        <f>$F$4*E11</f>
        <v>0</v>
      </c>
      <c r="G11" s="46">
        <f>$G$4*E11</f>
        <v>0</v>
      </c>
    </row>
    <row r="12" spans="1:7" x14ac:dyDescent="0.2">
      <c r="A12">
        <v>4</v>
      </c>
      <c r="B12" s="58" t="s">
        <v>119</v>
      </c>
      <c r="D12" s="61" t="s">
        <v>120</v>
      </c>
      <c r="E12">
        <v>421</v>
      </c>
      <c r="F12" s="46">
        <f>$F$4*E12</f>
        <v>210.5</v>
      </c>
      <c r="G12" s="46">
        <f>$G$4*E12</f>
        <v>210.5</v>
      </c>
    </row>
    <row r="13" spans="1:7" x14ac:dyDescent="0.2">
      <c r="A13">
        <v>5</v>
      </c>
      <c r="B13" t="s">
        <v>121</v>
      </c>
      <c r="D13" s="61" t="s">
        <v>122</v>
      </c>
      <c r="E13">
        <v>0</v>
      </c>
      <c r="F13" s="46">
        <f>$F$4*E13</f>
        <v>0</v>
      </c>
      <c r="G13" s="46">
        <f>$G$4*E13</f>
        <v>0</v>
      </c>
    </row>
    <row r="14" spans="1:7" x14ac:dyDescent="0.2">
      <c r="A14">
        <v>6</v>
      </c>
      <c r="B14" s="58" t="s">
        <v>123</v>
      </c>
      <c r="D14" s="61" t="s">
        <v>124</v>
      </c>
      <c r="E14">
        <v>1179</v>
      </c>
      <c r="F14" s="46">
        <f>$F$4*E14</f>
        <v>589.5</v>
      </c>
      <c r="G14" s="46">
        <f>$G$4*E14</f>
        <v>589.5</v>
      </c>
    </row>
    <row r="15" spans="1:7" x14ac:dyDescent="0.2">
      <c r="A15" t="s">
        <v>125</v>
      </c>
      <c r="D15" s="33"/>
      <c r="F15" s="46"/>
      <c r="G15" s="46"/>
    </row>
    <row r="16" spans="1:7" x14ac:dyDescent="0.2">
      <c r="D16" s="33"/>
      <c r="F16" s="46"/>
      <c r="G16" s="46"/>
    </row>
    <row r="17" spans="1:7" ht="15.75" x14ac:dyDescent="0.25">
      <c r="A17" s="64" t="s">
        <v>126</v>
      </c>
      <c r="D17" s="33"/>
      <c r="F17" s="46"/>
      <c r="G17" s="46"/>
    </row>
    <row r="18" spans="1:7" x14ac:dyDescent="0.2">
      <c r="A18">
        <v>7</v>
      </c>
      <c r="B18" t="s">
        <v>127</v>
      </c>
      <c r="D18" s="33" t="s">
        <v>128</v>
      </c>
      <c r="E18">
        <v>421</v>
      </c>
      <c r="F18" s="46">
        <f>$F$4*E18</f>
        <v>210.5</v>
      </c>
      <c r="G18" s="46">
        <f>$G$4*E18</f>
        <v>210.5</v>
      </c>
    </row>
    <row r="19" spans="1:7" x14ac:dyDescent="0.2">
      <c r="A19">
        <v>8</v>
      </c>
      <c r="B19" t="s">
        <v>129</v>
      </c>
      <c r="D19" s="33" t="s">
        <v>130</v>
      </c>
      <c r="E19">
        <v>595</v>
      </c>
      <c r="F19" s="46">
        <f>$F$4*E19</f>
        <v>297.5</v>
      </c>
      <c r="G19" s="46">
        <f>$G$4*E19</f>
        <v>297.5</v>
      </c>
    </row>
    <row r="20" spans="1:7" x14ac:dyDescent="0.2">
      <c r="C20" t="s">
        <v>131</v>
      </c>
      <c r="D20" s="33"/>
      <c r="F20" s="46"/>
      <c r="G20" s="46"/>
    </row>
    <row r="21" spans="1:7" x14ac:dyDescent="0.2">
      <c r="D21" s="33"/>
      <c r="F21" s="46"/>
      <c r="G21" s="46"/>
    </row>
    <row r="22" spans="1:7" x14ac:dyDescent="0.2">
      <c r="D22" s="33"/>
      <c r="F22" s="46"/>
      <c r="G22" s="46"/>
    </row>
    <row r="23" spans="1:7" x14ac:dyDescent="0.2">
      <c r="A23">
        <v>9</v>
      </c>
      <c r="B23" t="s">
        <v>132</v>
      </c>
      <c r="D23" s="61" t="s">
        <v>133</v>
      </c>
      <c r="E23" s="67">
        <v>902</v>
      </c>
      <c r="F23" s="46">
        <f>$F$4*E23</f>
        <v>451</v>
      </c>
      <c r="G23" s="46">
        <f>$G$4*E23</f>
        <v>451</v>
      </c>
    </row>
    <row r="24" spans="1:7" x14ac:dyDescent="0.2">
      <c r="A24">
        <v>10</v>
      </c>
      <c r="B24" t="s">
        <v>134</v>
      </c>
      <c r="D24" s="61" t="s">
        <v>135</v>
      </c>
      <c r="E24">
        <v>595</v>
      </c>
      <c r="F24" s="46">
        <f>$F$4*E24</f>
        <v>297.5</v>
      </c>
      <c r="G24" s="46">
        <f>$G$4*E24</f>
        <v>297.5</v>
      </c>
    </row>
    <row r="25" spans="1:7" x14ac:dyDescent="0.2">
      <c r="C25" t="s">
        <v>136</v>
      </c>
      <c r="D25" s="33"/>
      <c r="F25" s="46"/>
      <c r="G25" s="46"/>
    </row>
    <row r="26" spans="1:7" x14ac:dyDescent="0.2">
      <c r="D26" s="33"/>
      <c r="F26" s="46"/>
      <c r="G26" s="46"/>
    </row>
    <row r="27" spans="1:7" x14ac:dyDescent="0.2">
      <c r="A27">
        <v>11</v>
      </c>
      <c r="B27" t="s">
        <v>137</v>
      </c>
      <c r="D27" s="61" t="s">
        <v>138</v>
      </c>
      <c r="E27">
        <v>322</v>
      </c>
      <c r="F27" s="46">
        <f>$F$4*E27</f>
        <v>161</v>
      </c>
      <c r="G27" s="46">
        <f>$G$4*E27</f>
        <v>161</v>
      </c>
    </row>
    <row r="28" spans="1:7" x14ac:dyDescent="0.2">
      <c r="A28">
        <v>12</v>
      </c>
      <c r="B28" t="s">
        <v>139</v>
      </c>
      <c r="D28" s="61" t="s">
        <v>140</v>
      </c>
      <c r="E28">
        <v>595</v>
      </c>
      <c r="F28" s="46">
        <f>$F$4*E28</f>
        <v>297.5</v>
      </c>
      <c r="G28" s="46">
        <f>$G$4*E28</f>
        <v>297.5</v>
      </c>
    </row>
    <row r="29" spans="1:7" x14ac:dyDescent="0.2">
      <c r="C29" t="s">
        <v>141</v>
      </c>
      <c r="D29" s="33"/>
      <c r="F29" s="46"/>
      <c r="G29" s="46"/>
    </row>
    <row r="30" spans="1:7" x14ac:dyDescent="0.2">
      <c r="D30" s="33"/>
      <c r="F30" s="46"/>
      <c r="G30" s="46"/>
    </row>
    <row r="31" spans="1:7" x14ac:dyDescent="0.2">
      <c r="A31">
        <v>13</v>
      </c>
      <c r="B31" t="s">
        <v>142</v>
      </c>
      <c r="D31" s="33" t="s">
        <v>143</v>
      </c>
      <c r="E31">
        <v>595</v>
      </c>
      <c r="F31" s="46">
        <f>$F$4*E31</f>
        <v>297.5</v>
      </c>
      <c r="G31" s="46">
        <f>$G$4*E31</f>
        <v>297.5</v>
      </c>
    </row>
    <row r="32" spans="1:7" x14ac:dyDescent="0.2">
      <c r="A32">
        <v>14</v>
      </c>
      <c r="B32" t="s">
        <v>144</v>
      </c>
      <c r="D32" s="80" t="s">
        <v>145</v>
      </c>
      <c r="E32">
        <v>322</v>
      </c>
      <c r="F32" s="46">
        <f>$F$4*E32</f>
        <v>161</v>
      </c>
      <c r="G32" s="46">
        <f>$G$4*E32</f>
        <v>161</v>
      </c>
    </row>
    <row r="33" spans="1:7" x14ac:dyDescent="0.2">
      <c r="C33" t="s">
        <v>146</v>
      </c>
      <c r="D33" s="33"/>
      <c r="F33" s="46"/>
      <c r="G33" s="46"/>
    </row>
    <row r="34" spans="1:7" x14ac:dyDescent="0.2">
      <c r="D34" s="33"/>
      <c r="F34" s="46"/>
      <c r="G34" s="46"/>
    </row>
    <row r="35" spans="1:7" x14ac:dyDescent="0.2">
      <c r="D35" s="33"/>
      <c r="F35" s="46"/>
      <c r="G35" s="46"/>
    </row>
    <row r="36" spans="1:7" x14ac:dyDescent="0.2">
      <c r="A36">
        <v>15</v>
      </c>
      <c r="B36" t="s">
        <v>147</v>
      </c>
      <c r="D36" s="61" t="s">
        <v>148</v>
      </c>
      <c r="E36">
        <v>595</v>
      </c>
      <c r="F36" s="46">
        <f>$F$4*E36</f>
        <v>297.5</v>
      </c>
      <c r="G36" s="46">
        <f>$G$4*E36</f>
        <v>297.5</v>
      </c>
    </row>
    <row r="37" spans="1:7" x14ac:dyDescent="0.2">
      <c r="A37">
        <v>16</v>
      </c>
      <c r="B37" t="s">
        <v>149</v>
      </c>
      <c r="D37" s="80" t="s">
        <v>150</v>
      </c>
      <c r="E37">
        <v>322</v>
      </c>
      <c r="F37" s="46">
        <f>$F$4*E37</f>
        <v>161</v>
      </c>
      <c r="G37" s="46">
        <f>$G$4*E37</f>
        <v>161</v>
      </c>
    </row>
    <row r="38" spans="1:7" x14ac:dyDescent="0.2">
      <c r="D38" s="33"/>
      <c r="F38" s="46"/>
      <c r="G38" s="46"/>
    </row>
    <row r="39" spans="1:7" x14ac:dyDescent="0.2">
      <c r="D39" s="33"/>
      <c r="F39" s="46"/>
      <c r="G39" s="46"/>
    </row>
    <row r="40" spans="1:7" x14ac:dyDescent="0.2">
      <c r="A40">
        <v>17</v>
      </c>
      <c r="B40" t="s">
        <v>147</v>
      </c>
      <c r="D40" s="61" t="s">
        <v>151</v>
      </c>
      <c r="E40">
        <v>902</v>
      </c>
      <c r="F40" s="46">
        <f>$F$4*E40</f>
        <v>451</v>
      </c>
      <c r="G40" s="46">
        <f>$G$4*E40</f>
        <v>451</v>
      </c>
    </row>
    <row r="41" spans="1:7" x14ac:dyDescent="0.2">
      <c r="A41">
        <v>18</v>
      </c>
      <c r="B41" t="s">
        <v>149</v>
      </c>
      <c r="D41" s="61" t="s">
        <v>152</v>
      </c>
      <c r="E41">
        <v>322</v>
      </c>
      <c r="F41" s="46">
        <f>$F$4*E41</f>
        <v>161</v>
      </c>
      <c r="G41" s="46">
        <f>$G$4*E41</f>
        <v>161</v>
      </c>
    </row>
    <row r="42" spans="1:7" x14ac:dyDescent="0.2">
      <c r="D42" s="33"/>
      <c r="F42" s="46"/>
      <c r="G42" s="46"/>
    </row>
    <row r="43" spans="1:7" x14ac:dyDescent="0.2">
      <c r="A43" s="58" t="s">
        <v>153</v>
      </c>
      <c r="D43" s="33"/>
      <c r="F43" s="46"/>
      <c r="G43" s="46"/>
    </row>
    <row r="44" spans="1:7" x14ac:dyDescent="0.2">
      <c r="A44">
        <v>19</v>
      </c>
      <c r="B44" t="s">
        <v>154</v>
      </c>
      <c r="D44" s="33" t="s">
        <v>155</v>
      </c>
      <c r="E44">
        <v>322</v>
      </c>
      <c r="F44" s="46">
        <f t="shared" ref="F44:F49" si="0">$F$4*E44</f>
        <v>161</v>
      </c>
      <c r="G44" s="46">
        <f t="shared" ref="G44:G49" si="1">$G$4*E44</f>
        <v>161</v>
      </c>
    </row>
    <row r="45" spans="1:7" x14ac:dyDescent="0.2">
      <c r="A45">
        <v>20</v>
      </c>
      <c r="B45" t="s">
        <v>156</v>
      </c>
      <c r="D45" s="61" t="s">
        <v>157</v>
      </c>
      <c r="E45">
        <v>322</v>
      </c>
      <c r="F45" s="46">
        <f t="shared" si="0"/>
        <v>161</v>
      </c>
      <c r="G45" s="46">
        <f t="shared" si="1"/>
        <v>161</v>
      </c>
    </row>
    <row r="46" spans="1:7" x14ac:dyDescent="0.2">
      <c r="A46">
        <v>21</v>
      </c>
      <c r="B46" s="58" t="s">
        <v>158</v>
      </c>
      <c r="D46" s="61" t="s">
        <v>159</v>
      </c>
      <c r="E46">
        <v>322</v>
      </c>
      <c r="F46" s="46">
        <f t="shared" si="0"/>
        <v>161</v>
      </c>
      <c r="G46" s="46">
        <f t="shared" si="1"/>
        <v>161</v>
      </c>
    </row>
    <row r="47" spans="1:7" x14ac:dyDescent="0.2">
      <c r="A47">
        <v>22</v>
      </c>
      <c r="B47" s="58" t="s">
        <v>160</v>
      </c>
      <c r="D47" s="61" t="s">
        <v>161</v>
      </c>
      <c r="E47">
        <v>968</v>
      </c>
      <c r="F47" s="46">
        <f t="shared" si="0"/>
        <v>484</v>
      </c>
      <c r="G47" s="46">
        <f t="shared" si="1"/>
        <v>484</v>
      </c>
    </row>
    <row r="48" spans="1:7" x14ac:dyDescent="0.2">
      <c r="A48">
        <v>23</v>
      </c>
      <c r="B48" s="58" t="s">
        <v>158</v>
      </c>
      <c r="D48" s="80" t="s">
        <v>162</v>
      </c>
      <c r="E48">
        <v>322</v>
      </c>
      <c r="F48" s="46">
        <f t="shared" si="0"/>
        <v>161</v>
      </c>
      <c r="G48" s="46">
        <f t="shared" si="1"/>
        <v>161</v>
      </c>
    </row>
    <row r="49" spans="1:7" x14ac:dyDescent="0.2">
      <c r="A49">
        <v>24</v>
      </c>
      <c r="B49" s="58" t="s">
        <v>158</v>
      </c>
      <c r="D49" s="61" t="s">
        <v>163</v>
      </c>
      <c r="E49">
        <v>322</v>
      </c>
      <c r="F49" s="46">
        <f t="shared" si="0"/>
        <v>161</v>
      </c>
      <c r="G49" s="46">
        <f t="shared" si="1"/>
        <v>161</v>
      </c>
    </row>
    <row r="50" spans="1:7" x14ac:dyDescent="0.2">
      <c r="C50" t="s">
        <v>164</v>
      </c>
      <c r="D50" s="33"/>
      <c r="F50" s="46"/>
      <c r="G50" s="46"/>
    </row>
    <row r="51" spans="1:7" x14ac:dyDescent="0.2">
      <c r="C51" s="13" t="s">
        <v>165</v>
      </c>
      <c r="D51" s="33"/>
      <c r="F51" s="46"/>
      <c r="G51" s="46"/>
    </row>
    <row r="52" spans="1:7" x14ac:dyDescent="0.2">
      <c r="D52" s="33"/>
      <c r="F52" s="46"/>
      <c r="G52" s="46"/>
    </row>
    <row r="53" spans="1:7" x14ac:dyDescent="0.2">
      <c r="A53">
        <v>25</v>
      </c>
      <c r="B53" t="s">
        <v>166</v>
      </c>
      <c r="D53" s="61" t="s">
        <v>167</v>
      </c>
      <c r="F53" s="46"/>
      <c r="G53" s="46"/>
    </row>
    <row r="54" spans="1:7" x14ac:dyDescent="0.2">
      <c r="A54">
        <v>26</v>
      </c>
      <c r="B54" t="s">
        <v>168</v>
      </c>
      <c r="D54" s="61" t="s">
        <v>169</v>
      </c>
      <c r="F54" s="46"/>
      <c r="G54" s="46"/>
    </row>
    <row r="55" spans="1:7" x14ac:dyDescent="0.2">
      <c r="A55">
        <v>27</v>
      </c>
      <c r="B55" t="s">
        <v>170</v>
      </c>
      <c r="D55" s="33" t="s">
        <v>171</v>
      </c>
      <c r="F55" s="46"/>
      <c r="G55" s="46"/>
    </row>
    <row r="56" spans="1:7" x14ac:dyDescent="0.2">
      <c r="A56">
        <v>28</v>
      </c>
      <c r="B56" t="s">
        <v>172</v>
      </c>
      <c r="D56" s="61" t="s">
        <v>173</v>
      </c>
      <c r="F56" s="46"/>
      <c r="G56" s="46"/>
    </row>
    <row r="57" spans="1:7" x14ac:dyDescent="0.2">
      <c r="A57">
        <v>29</v>
      </c>
      <c r="B57" t="s">
        <v>174</v>
      </c>
      <c r="D57" s="61" t="s">
        <v>175</v>
      </c>
      <c r="E57">
        <v>322</v>
      </c>
      <c r="F57" s="46">
        <f>$F$4*E57</f>
        <v>161</v>
      </c>
      <c r="G57" s="46">
        <f>$G$4*E57</f>
        <v>161</v>
      </c>
    </row>
    <row r="58" spans="1:7" x14ac:dyDescent="0.2">
      <c r="A58">
        <v>30</v>
      </c>
      <c r="B58" t="s">
        <v>176</v>
      </c>
      <c r="D58" s="61" t="s">
        <v>177</v>
      </c>
      <c r="E58">
        <v>322</v>
      </c>
      <c r="F58" s="46">
        <f>$F$4*E58</f>
        <v>161</v>
      </c>
      <c r="G58" s="46">
        <f>$G$4*E58</f>
        <v>161</v>
      </c>
    </row>
    <row r="59" spans="1:7" x14ac:dyDescent="0.2">
      <c r="A59">
        <v>31</v>
      </c>
      <c r="B59" t="s">
        <v>178</v>
      </c>
      <c r="D59" s="61"/>
      <c r="F59" s="46"/>
      <c r="G59" s="46"/>
    </row>
    <row r="60" spans="1:7" x14ac:dyDescent="0.2">
      <c r="A60">
        <v>32</v>
      </c>
      <c r="B60" t="s">
        <v>179</v>
      </c>
      <c r="D60" s="61" t="s">
        <v>180</v>
      </c>
      <c r="E60">
        <v>421</v>
      </c>
      <c r="F60" s="46">
        <f>$F$4*E60</f>
        <v>210.5</v>
      </c>
      <c r="G60" s="46">
        <f>$G$4*E60</f>
        <v>210.5</v>
      </c>
    </row>
    <row r="61" spans="1:7" x14ac:dyDescent="0.2">
      <c r="A61">
        <v>33</v>
      </c>
      <c r="B61" t="s">
        <v>181</v>
      </c>
      <c r="D61" s="61" t="s">
        <v>182</v>
      </c>
      <c r="F61" s="46"/>
      <c r="G61" s="46"/>
    </row>
    <row r="62" spans="1:7" x14ac:dyDescent="0.2">
      <c r="A62">
        <v>34</v>
      </c>
      <c r="B62" t="s">
        <v>183</v>
      </c>
      <c r="D62" s="80" t="s">
        <v>163</v>
      </c>
      <c r="E62">
        <v>421</v>
      </c>
      <c r="F62" s="46">
        <f>$F$4*E62</f>
        <v>210.5</v>
      </c>
      <c r="G62" s="46">
        <f>$G$4*E62</f>
        <v>210.5</v>
      </c>
    </row>
    <row r="63" spans="1:7" x14ac:dyDescent="0.2">
      <c r="C63" t="s">
        <v>184</v>
      </c>
      <c r="D63" s="33"/>
      <c r="F63" s="46"/>
      <c r="G63" s="46"/>
    </row>
    <row r="64" spans="1:7" x14ac:dyDescent="0.2">
      <c r="D64" s="33"/>
      <c r="F64" s="46"/>
      <c r="G64" s="46"/>
    </row>
    <row r="65" spans="1:9" x14ac:dyDescent="0.2">
      <c r="A65">
        <v>35</v>
      </c>
      <c r="B65" t="s">
        <v>185</v>
      </c>
      <c r="D65" s="61" t="s">
        <v>186</v>
      </c>
      <c r="F65" s="46"/>
      <c r="G65" s="46"/>
    </row>
    <row r="66" spans="1:9" x14ac:dyDescent="0.2">
      <c r="A66">
        <v>36</v>
      </c>
      <c r="B66" t="s">
        <v>187</v>
      </c>
      <c r="D66" s="33" t="s">
        <v>188</v>
      </c>
      <c r="F66" s="46"/>
      <c r="G66" s="46"/>
    </row>
    <row r="67" spans="1:9" x14ac:dyDescent="0.2">
      <c r="A67">
        <v>37</v>
      </c>
      <c r="B67" s="58" t="s">
        <v>189</v>
      </c>
      <c r="D67" s="61" t="s">
        <v>190</v>
      </c>
      <c r="F67" s="46"/>
      <c r="G67" s="46"/>
    </row>
    <row r="68" spans="1:9" x14ac:dyDescent="0.2">
      <c r="A68">
        <v>38</v>
      </c>
      <c r="B68" s="58" t="s">
        <v>191</v>
      </c>
      <c r="D68" s="61" t="s">
        <v>192</v>
      </c>
      <c r="F68" s="46"/>
      <c r="G68" s="46"/>
    </row>
    <row r="69" spans="1:9" x14ac:dyDescent="0.2">
      <c r="C69" t="s">
        <v>193</v>
      </c>
      <c r="D69" s="33"/>
    </row>
    <row r="70" spans="1:9" x14ac:dyDescent="0.2">
      <c r="D70" s="33"/>
    </row>
    <row r="71" spans="1:9" ht="13.5" thickBot="1" x14ac:dyDescent="0.25">
      <c r="B71" s="13" t="s">
        <v>194</v>
      </c>
      <c r="C71" s="13"/>
      <c r="D71" s="35" t="s">
        <v>195</v>
      </c>
      <c r="E71" s="36">
        <f>SUM(E8:E70)</f>
        <v>13752</v>
      </c>
      <c r="F71" s="36">
        <f>SUM(F8:F70)</f>
        <v>6876</v>
      </c>
      <c r="G71" s="36">
        <f>E71-F71</f>
        <v>6876</v>
      </c>
      <c r="H71" s="36"/>
      <c r="I71" s="38"/>
    </row>
    <row r="72" spans="1:9" ht="13.5" thickTop="1" x14ac:dyDescent="0.2">
      <c r="D72" s="61" t="s">
        <v>196</v>
      </c>
      <c r="E72" s="38">
        <f>E71*12</f>
        <v>165024</v>
      </c>
      <c r="F72">
        <f>F71*12</f>
        <v>82512</v>
      </c>
      <c r="G72" s="38">
        <f>E72-F72</f>
        <v>82512</v>
      </c>
    </row>
    <row r="73" spans="1:9" ht="15" x14ac:dyDescent="0.25">
      <c r="B73" s="39"/>
      <c r="D73" s="61" t="s">
        <v>197</v>
      </c>
      <c r="F73" s="75">
        <f>F72/E72</f>
        <v>0.5</v>
      </c>
      <c r="G73" s="75">
        <f>G72/E72</f>
        <v>0.5</v>
      </c>
    </row>
    <row r="74" spans="1:9" ht="18" customHeight="1" x14ac:dyDescent="0.2">
      <c r="C74" s="43"/>
      <c r="D74" s="61" t="s">
        <v>198</v>
      </c>
      <c r="E74" s="38">
        <f>E72*117%</f>
        <v>193078.08</v>
      </c>
      <c r="F74" s="38">
        <f>E74*F73</f>
        <v>96539.04</v>
      </c>
      <c r="G74" s="73">
        <f>E74*G73</f>
        <v>96539.04</v>
      </c>
    </row>
    <row r="75" spans="1:9" x14ac:dyDescent="0.2">
      <c r="D75" s="61" t="s">
        <v>199</v>
      </c>
      <c r="G75" s="33">
        <f>(595*12)*3</f>
        <v>21420</v>
      </c>
    </row>
    <row r="76" spans="1:9" ht="16.5" customHeight="1" thickBot="1" x14ac:dyDescent="0.25">
      <c r="D76" s="61" t="s">
        <v>200</v>
      </c>
      <c r="G76" s="74">
        <f>G74+G75</f>
        <v>117959.03999999999</v>
      </c>
    </row>
    <row r="77" spans="1:9" ht="13.5" thickTop="1" x14ac:dyDescent="0.2">
      <c r="D77" s="33"/>
    </row>
    <row r="78" spans="1:9" x14ac:dyDescent="0.2">
      <c r="D78" s="33"/>
    </row>
    <row r="79" spans="1:9" x14ac:dyDescent="0.2">
      <c r="D79" s="33"/>
    </row>
    <row r="80" spans="1:9" x14ac:dyDescent="0.2">
      <c r="A80" s="39" t="s">
        <v>103</v>
      </c>
    </row>
    <row r="81" spans="1:10" ht="42.75" customHeight="1" x14ac:dyDescent="0.2">
      <c r="A81" t="s">
        <v>101</v>
      </c>
      <c r="B81" s="156" t="s">
        <v>201</v>
      </c>
      <c r="C81" s="157"/>
      <c r="D81" s="157"/>
      <c r="E81" s="157"/>
      <c r="F81" s="157"/>
      <c r="G81" s="157"/>
      <c r="H81" s="157"/>
    </row>
    <row r="83" spans="1:10" x14ac:dyDescent="0.2">
      <c r="A83" s="13"/>
      <c r="D83" s="33"/>
    </row>
    <row r="84" spans="1:10" x14ac:dyDescent="0.2">
      <c r="D84" s="33"/>
    </row>
    <row r="85" spans="1:10" x14ac:dyDescent="0.2">
      <c r="J85" s="86"/>
    </row>
    <row r="86" spans="1:10" x14ac:dyDescent="0.2">
      <c r="J86" s="86">
        <v>13428</v>
      </c>
    </row>
    <row r="87" spans="1:10" x14ac:dyDescent="0.2">
      <c r="J87" s="86">
        <v>13979.33</v>
      </c>
    </row>
    <row r="88" spans="1:10" x14ac:dyDescent="0.2">
      <c r="J88" s="86">
        <v>15997</v>
      </c>
    </row>
    <row r="89" spans="1:10" x14ac:dyDescent="0.2">
      <c r="J89" s="86">
        <v>14818</v>
      </c>
    </row>
    <row r="90" spans="1:10" x14ac:dyDescent="0.2">
      <c r="J90" s="86">
        <v>16348</v>
      </c>
    </row>
    <row r="91" spans="1:10" x14ac:dyDescent="0.2">
      <c r="J91" s="86">
        <v>16348</v>
      </c>
    </row>
    <row r="92" spans="1:10" x14ac:dyDescent="0.2">
      <c r="J92" s="86">
        <v>16348</v>
      </c>
    </row>
    <row r="93" spans="1:10" x14ac:dyDescent="0.2">
      <c r="J93" s="86">
        <v>16348</v>
      </c>
    </row>
    <row r="94" spans="1:10" x14ac:dyDescent="0.2">
      <c r="J94" s="86">
        <v>16348</v>
      </c>
    </row>
    <row r="95" spans="1:10" x14ac:dyDescent="0.2">
      <c r="J95" s="86">
        <v>16951.919999999998</v>
      </c>
    </row>
    <row r="96" spans="1:10" x14ac:dyDescent="0.2">
      <c r="J96" s="86"/>
    </row>
    <row r="97" spans="9:14" x14ac:dyDescent="0.2">
      <c r="I97" s="58" t="s">
        <v>202</v>
      </c>
      <c r="J97" s="46">
        <f>SUM(J86:J96)</f>
        <v>156914.25</v>
      </c>
      <c r="K97" s="46">
        <f>J97/10</f>
        <v>15691.424999999999</v>
      </c>
      <c r="L97" s="46">
        <f>K97*12</f>
        <v>188297.09999999998</v>
      </c>
    </row>
    <row r="98" spans="9:14" x14ac:dyDescent="0.2">
      <c r="I98" s="58" t="s">
        <v>203</v>
      </c>
      <c r="J98" s="46">
        <v>66036</v>
      </c>
      <c r="K98" s="46">
        <f>J98/10</f>
        <v>6603.6</v>
      </c>
      <c r="L98" s="46">
        <f>K98*12</f>
        <v>79243.200000000012</v>
      </c>
      <c r="N98" s="18">
        <f>L98/L97</f>
        <v>0.42084131938303893</v>
      </c>
    </row>
    <row r="99" spans="9:14" x14ac:dyDescent="0.2">
      <c r="I99" s="58" t="s">
        <v>204</v>
      </c>
      <c r="L99" s="46">
        <f>L97-L98</f>
        <v>109053.89999999997</v>
      </c>
      <c r="M99" s="46">
        <f>L99*114%</f>
        <v>124321.44599999995</v>
      </c>
      <c r="N99" s="18">
        <f>L99/L97</f>
        <v>0.57915868061696107</v>
      </c>
    </row>
  </sheetData>
  <mergeCells count="1">
    <mergeCell ref="B81:H81"/>
  </mergeCells>
  <phoneticPr fontId="14" type="noConversion"/>
  <pageMargins left="0.75" right="0.75" top="1" bottom="1" header="0.5" footer="0.5"/>
  <pageSetup scale="5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22"/>
  <sheetViews>
    <sheetView zoomScale="130" zoomScaleNormal="130" zoomScaleSheetLayoutView="120" workbookViewId="0">
      <pane xSplit="4" ySplit="5" topLeftCell="E57" activePane="bottomRight" state="frozen"/>
      <selection pane="topRight" activeCell="E1" sqref="E1"/>
      <selection pane="bottomLeft" activeCell="A6" sqref="A6"/>
      <selection pane="bottomRight" activeCell="M11" sqref="M11"/>
    </sheetView>
  </sheetViews>
  <sheetFormatPr defaultRowHeight="12.75" x14ac:dyDescent="0.2"/>
  <cols>
    <col min="1" max="1" width="3.85546875" customWidth="1"/>
    <col min="2" max="2" width="5.5703125" customWidth="1"/>
    <col min="3" max="3" width="39.5703125" customWidth="1"/>
    <col min="4" max="4" width="16.28515625" customWidth="1"/>
    <col min="5" max="5" width="12.7109375" customWidth="1"/>
    <col min="6" max="6" width="10" customWidth="1"/>
    <col min="7" max="7" width="11" customWidth="1"/>
    <col min="8" max="8" width="13.28515625" customWidth="1"/>
    <col min="9" max="9" width="9" customWidth="1"/>
    <col min="10" max="10" width="10.28515625" customWidth="1"/>
    <col min="11" max="11" width="9.28515625" customWidth="1"/>
    <col min="12" max="12" width="9.5703125" customWidth="1"/>
    <col min="13" max="13" width="9.85546875" customWidth="1"/>
    <col min="14" max="14" width="9.5703125" customWidth="1"/>
    <col min="15" max="15" width="9.28515625" customWidth="1"/>
    <col min="16" max="16" width="5.85546875" customWidth="1"/>
    <col min="17" max="17" width="12.7109375" customWidth="1"/>
    <col min="18" max="18" width="22.7109375" customWidth="1"/>
  </cols>
  <sheetData>
    <row r="1" spans="1:18" ht="18" x14ac:dyDescent="0.25">
      <c r="A1" s="30" t="s">
        <v>100</v>
      </c>
      <c r="D1" s="1"/>
      <c r="E1" s="98"/>
      <c r="F1" s="98"/>
      <c r="G1" s="98"/>
      <c r="M1" s="52"/>
    </row>
    <row r="2" spans="1:18" ht="18" x14ac:dyDescent="0.25">
      <c r="A2" s="30" t="s">
        <v>255</v>
      </c>
      <c r="D2" s="13"/>
      <c r="E2" s="99"/>
      <c r="F2" s="99"/>
      <c r="G2" s="99"/>
    </row>
    <row r="3" spans="1:18" ht="13.9" customHeight="1" x14ac:dyDescent="0.25">
      <c r="A3" s="30" t="s">
        <v>205</v>
      </c>
      <c r="E3" s="99">
        <v>0.05</v>
      </c>
      <c r="F3" s="109">
        <v>0.05</v>
      </c>
      <c r="G3" s="99">
        <v>0.05</v>
      </c>
      <c r="H3" s="68">
        <v>59</v>
      </c>
      <c r="I3" s="68"/>
      <c r="J3" s="68"/>
      <c r="K3" s="68"/>
      <c r="L3" s="68"/>
      <c r="M3" s="69">
        <f>(150*13)+(250*13)/26</f>
        <v>2075</v>
      </c>
      <c r="N3" s="68"/>
      <c r="O3" s="43">
        <v>0.02</v>
      </c>
    </row>
    <row r="4" spans="1:18" ht="13.9" customHeight="1" x14ac:dyDescent="0.2">
      <c r="E4" s="99">
        <v>0.03</v>
      </c>
      <c r="F4" s="109">
        <v>0.03</v>
      </c>
      <c r="G4" s="132">
        <v>0.03</v>
      </c>
      <c r="H4" s="68"/>
      <c r="I4" s="68"/>
      <c r="J4" s="89">
        <v>6.2E-2</v>
      </c>
      <c r="K4" s="88">
        <v>1.4500000000000001E-2</v>
      </c>
      <c r="L4" s="88">
        <v>4.2000000000000003E-2</v>
      </c>
      <c r="M4" s="69">
        <f>(171*5)+(285*12)/17</f>
        <v>1056.1764705882354</v>
      </c>
      <c r="N4" s="69">
        <v>40</v>
      </c>
      <c r="O4" s="90">
        <v>0.05</v>
      </c>
      <c r="P4" s="68"/>
      <c r="Q4" s="68" t="s">
        <v>206</v>
      </c>
    </row>
    <row r="5" spans="1:18" ht="26.25" x14ac:dyDescent="0.25">
      <c r="A5" s="106" t="s">
        <v>109</v>
      </c>
      <c r="B5" s="107" t="s">
        <v>110</v>
      </c>
      <c r="C5" s="108"/>
      <c r="D5" s="108" t="s">
        <v>107</v>
      </c>
      <c r="E5" s="105" t="s">
        <v>256</v>
      </c>
      <c r="F5" s="127" t="s">
        <v>257</v>
      </c>
      <c r="G5" s="133" t="s">
        <v>258</v>
      </c>
      <c r="H5" s="105" t="s">
        <v>207</v>
      </c>
      <c r="I5" s="108"/>
      <c r="J5" s="108" t="s">
        <v>208</v>
      </c>
      <c r="K5" s="108" t="s">
        <v>209</v>
      </c>
      <c r="L5" s="108" t="s">
        <v>210</v>
      </c>
      <c r="M5" s="108" t="s">
        <v>211</v>
      </c>
      <c r="N5" s="108" t="s">
        <v>212</v>
      </c>
      <c r="O5" s="108" t="s">
        <v>213</v>
      </c>
      <c r="Q5" s="108"/>
    </row>
    <row r="6" spans="1:18" ht="15.75" x14ac:dyDescent="0.25">
      <c r="A6" s="64" t="s">
        <v>113</v>
      </c>
      <c r="B6" s="62"/>
      <c r="C6" s="63"/>
      <c r="D6" s="63"/>
      <c r="E6" s="63"/>
      <c r="F6" s="63"/>
      <c r="G6" s="134"/>
      <c r="H6" s="63"/>
      <c r="I6" s="63"/>
      <c r="J6" s="63"/>
      <c r="K6" s="63"/>
      <c r="L6" s="63"/>
      <c r="M6" s="63"/>
      <c r="N6" s="63"/>
      <c r="O6" s="63"/>
      <c r="P6" s="26"/>
      <c r="Q6" s="26"/>
    </row>
    <row r="7" spans="1:18" x14ac:dyDescent="0.2">
      <c r="A7">
        <v>1</v>
      </c>
      <c r="B7" t="s">
        <v>214</v>
      </c>
      <c r="D7" s="33" t="s">
        <v>115</v>
      </c>
      <c r="E7" s="31">
        <f>5746.55*24</f>
        <v>137917.20000000001</v>
      </c>
      <c r="F7" s="33">
        <f>E7*$F$4</f>
        <v>4137.5160000000005</v>
      </c>
      <c r="G7" s="147">
        <f>SUM(E7:F7)</f>
        <v>142054.71600000001</v>
      </c>
      <c r="H7" s="33">
        <f>G7</f>
        <v>142054.71600000001</v>
      </c>
      <c r="I7" s="33"/>
      <c r="J7" s="33">
        <f>113700*6.2%</f>
        <v>7049.4</v>
      </c>
      <c r="K7" s="33">
        <f>G7*$K$4</f>
        <v>2059.7933820000003</v>
      </c>
      <c r="L7">
        <f>9000*$L$4</f>
        <v>378</v>
      </c>
      <c r="M7" s="33">
        <f>(250*114%)*12</f>
        <v>3420</v>
      </c>
      <c r="N7" s="34"/>
      <c r="O7" s="33">
        <f>(G7*$O$4)</f>
        <v>7102.7358000000013</v>
      </c>
      <c r="Q7" s="146"/>
      <c r="R7" s="67"/>
    </row>
    <row r="8" spans="1:18" x14ac:dyDescent="0.2">
      <c r="A8">
        <f>+A7+1</f>
        <v>2</v>
      </c>
      <c r="B8" t="s">
        <v>114</v>
      </c>
      <c r="D8" s="33" t="s">
        <v>117</v>
      </c>
      <c r="E8" s="31">
        <f>5083.5*24</f>
        <v>122004</v>
      </c>
      <c r="F8" s="33">
        <f t="shared" ref="F8:F17" si="0">E8*$F$4</f>
        <v>3660.12</v>
      </c>
      <c r="G8" s="147">
        <f t="shared" ref="G8:G17" si="1">SUM(E8:F8)</f>
        <v>125664.12</v>
      </c>
      <c r="H8" s="33">
        <f>G8</f>
        <v>125664.12</v>
      </c>
      <c r="I8" s="33"/>
      <c r="J8" s="84">
        <f>113700*6.2%</f>
        <v>7049.4</v>
      </c>
      <c r="K8" s="33">
        <f t="shared" ref="K8:K17" si="2">G8*$K$4</f>
        <v>1822.1297400000001</v>
      </c>
      <c r="L8">
        <f t="shared" ref="L8:L17" si="3">9000*$L$4</f>
        <v>378</v>
      </c>
      <c r="M8" s="33"/>
      <c r="N8" s="34"/>
      <c r="O8" s="33">
        <f t="shared" ref="O8:O17" si="4">(G8*$O$4)</f>
        <v>6283.2060000000001</v>
      </c>
      <c r="Q8" s="146" t="e">
        <f>(#REF!-#REF!)/#REF!</f>
        <v>#REF!</v>
      </c>
      <c r="R8" s="67"/>
    </row>
    <row r="9" spans="1:18" x14ac:dyDescent="0.2">
      <c r="A9">
        <f t="shared" ref="A9:A17" si="5">+A8+1</f>
        <v>3</v>
      </c>
      <c r="B9" s="58" t="s">
        <v>215</v>
      </c>
      <c r="D9" s="61" t="s">
        <v>161</v>
      </c>
      <c r="E9" s="31">
        <f>4097.5*24</f>
        <v>98340</v>
      </c>
      <c r="F9" s="33">
        <f t="shared" si="0"/>
        <v>2950.2</v>
      </c>
      <c r="G9" s="147">
        <f t="shared" si="1"/>
        <v>101290.2</v>
      </c>
      <c r="H9" s="33">
        <f>G9</f>
        <v>101290.2</v>
      </c>
      <c r="I9" s="33"/>
      <c r="J9" s="33">
        <f>G9*$J$4</f>
        <v>6279.9924000000001</v>
      </c>
      <c r="K9" s="33">
        <f t="shared" si="2"/>
        <v>1468.7079000000001</v>
      </c>
      <c r="L9">
        <f t="shared" si="3"/>
        <v>378</v>
      </c>
      <c r="M9" s="33">
        <f>(150*114%)*12</f>
        <v>2051.9999999999995</v>
      </c>
      <c r="N9" s="34"/>
      <c r="O9" s="33">
        <f t="shared" si="4"/>
        <v>5064.51</v>
      </c>
    </row>
    <row r="10" spans="1:18" x14ac:dyDescent="0.2">
      <c r="A10">
        <f t="shared" si="5"/>
        <v>4</v>
      </c>
      <c r="B10" s="58" t="s">
        <v>222</v>
      </c>
      <c r="D10" s="61" t="s">
        <v>216</v>
      </c>
      <c r="E10" s="31">
        <f>2986.6*24</f>
        <v>71678.399999999994</v>
      </c>
      <c r="F10" s="33">
        <f t="shared" si="0"/>
        <v>2150.3519999999999</v>
      </c>
      <c r="G10" s="147">
        <f t="shared" si="1"/>
        <v>73828.751999999993</v>
      </c>
      <c r="H10" s="85">
        <f>G10</f>
        <v>73828.751999999993</v>
      </c>
      <c r="I10" s="33"/>
      <c r="J10" s="33">
        <f t="shared" ref="J10:J17" si="6">G10*$J$4</f>
        <v>4577.3826239999999</v>
      </c>
      <c r="K10" s="33">
        <f t="shared" si="2"/>
        <v>1070.5169040000001</v>
      </c>
      <c r="L10">
        <f>9000*$L$4</f>
        <v>378</v>
      </c>
      <c r="M10" s="33">
        <f>(150*114%)*12</f>
        <v>2051.9999999999995</v>
      </c>
      <c r="N10" s="34"/>
      <c r="O10" s="33">
        <f t="shared" si="4"/>
        <v>3691.4375999999997</v>
      </c>
    </row>
    <row r="11" spans="1:18" ht="12.75" customHeight="1" x14ac:dyDescent="0.2">
      <c r="A11">
        <f t="shared" si="5"/>
        <v>5</v>
      </c>
      <c r="B11" t="s">
        <v>118</v>
      </c>
      <c r="D11" s="33" t="s">
        <v>217</v>
      </c>
      <c r="E11" s="31">
        <f>2630.28*24</f>
        <v>63126.720000000001</v>
      </c>
      <c r="F11" s="33">
        <f t="shared" si="0"/>
        <v>1893.8016</v>
      </c>
      <c r="G11" s="147">
        <f t="shared" si="1"/>
        <v>65020.5216</v>
      </c>
      <c r="H11" s="85">
        <f>G11</f>
        <v>65020.5216</v>
      </c>
      <c r="I11" s="33"/>
      <c r="J11" s="33">
        <f t="shared" si="6"/>
        <v>4031.2723391999998</v>
      </c>
      <c r="K11" s="33">
        <f t="shared" si="2"/>
        <v>942.79756320000001</v>
      </c>
      <c r="L11">
        <f t="shared" si="3"/>
        <v>378</v>
      </c>
      <c r="M11" s="33"/>
      <c r="N11" s="34"/>
      <c r="O11" s="33">
        <f t="shared" si="4"/>
        <v>3251.0260800000001</v>
      </c>
    </row>
    <row r="12" spans="1:18" x14ac:dyDescent="0.2">
      <c r="A12">
        <f t="shared" si="5"/>
        <v>6</v>
      </c>
      <c r="B12" s="26" t="s">
        <v>121</v>
      </c>
      <c r="C12" s="26"/>
      <c r="D12" s="91" t="s">
        <v>218</v>
      </c>
      <c r="E12" s="31">
        <f>1547.14*24</f>
        <v>37131.360000000001</v>
      </c>
      <c r="F12" s="33">
        <f t="shared" si="0"/>
        <v>1113.9408000000001</v>
      </c>
      <c r="G12" s="147">
        <f t="shared" si="1"/>
        <v>38245.300799999997</v>
      </c>
      <c r="H12" s="33">
        <f t="shared" ref="H12:H17" si="7">G12</f>
        <v>38245.300799999997</v>
      </c>
      <c r="I12" s="33"/>
      <c r="J12" s="33">
        <f t="shared" si="6"/>
        <v>2371.2086495999997</v>
      </c>
      <c r="K12" s="33">
        <f t="shared" si="2"/>
        <v>554.55686159999993</v>
      </c>
      <c r="L12">
        <f t="shared" si="3"/>
        <v>378</v>
      </c>
      <c r="M12" s="33"/>
      <c r="N12" s="34"/>
      <c r="O12" s="33">
        <f>(G12*$O$4)</f>
        <v>1912.26504</v>
      </c>
    </row>
    <row r="13" spans="1:18" x14ac:dyDescent="0.2">
      <c r="A13">
        <f t="shared" si="5"/>
        <v>7</v>
      </c>
      <c r="B13" s="26" t="s">
        <v>121</v>
      </c>
      <c r="C13" s="26"/>
      <c r="D13" s="61" t="s">
        <v>259</v>
      </c>
      <c r="E13" s="31">
        <f>1250*24</f>
        <v>30000</v>
      </c>
      <c r="F13" s="33">
        <f t="shared" si="0"/>
        <v>900</v>
      </c>
      <c r="G13" s="147">
        <f t="shared" si="1"/>
        <v>30900</v>
      </c>
      <c r="H13" s="33">
        <f t="shared" si="7"/>
        <v>30900</v>
      </c>
      <c r="I13" s="33"/>
      <c r="J13" s="33">
        <f t="shared" si="6"/>
        <v>1915.8</v>
      </c>
      <c r="K13" s="33">
        <f t="shared" si="2"/>
        <v>448.05</v>
      </c>
      <c r="L13">
        <f t="shared" si="3"/>
        <v>378</v>
      </c>
      <c r="M13" s="33"/>
      <c r="N13" s="34"/>
      <c r="O13" s="33">
        <f>(G13*$O$3)</f>
        <v>618</v>
      </c>
    </row>
    <row r="14" spans="1:18" x14ac:dyDescent="0.2">
      <c r="A14">
        <f t="shared" si="5"/>
        <v>8</v>
      </c>
      <c r="B14" s="104" t="s">
        <v>260</v>
      </c>
      <c r="C14" s="26"/>
      <c r="D14" s="61" t="s">
        <v>261</v>
      </c>
      <c r="E14" s="128">
        <f>17.5*(180*4)</f>
        <v>12600</v>
      </c>
      <c r="F14" s="33">
        <f t="shared" si="0"/>
        <v>378</v>
      </c>
      <c r="G14" s="147">
        <f t="shared" si="1"/>
        <v>12978</v>
      </c>
      <c r="H14" s="33">
        <f t="shared" si="7"/>
        <v>12978</v>
      </c>
      <c r="I14" s="33"/>
      <c r="J14" s="33">
        <f t="shared" si="6"/>
        <v>804.63599999999997</v>
      </c>
      <c r="K14" s="33">
        <f t="shared" si="2"/>
        <v>188.18100000000001</v>
      </c>
      <c r="L14">
        <f>7000*$L$4</f>
        <v>294</v>
      </c>
      <c r="M14" s="33"/>
      <c r="N14" s="34"/>
      <c r="O14" s="33">
        <v>0</v>
      </c>
    </row>
    <row r="15" spans="1:18" x14ac:dyDescent="0.2">
      <c r="A15">
        <f t="shared" si="5"/>
        <v>9</v>
      </c>
      <c r="B15" s="26" t="s">
        <v>219</v>
      </c>
      <c r="C15" s="26"/>
      <c r="D15" s="61" t="s">
        <v>122</v>
      </c>
      <c r="E15" s="31">
        <f>2105.06*24</f>
        <v>50521.440000000002</v>
      </c>
      <c r="F15" s="33">
        <f t="shared" si="0"/>
        <v>1515.6432</v>
      </c>
      <c r="G15" s="147">
        <f t="shared" si="1"/>
        <v>52037.083200000001</v>
      </c>
      <c r="H15" s="85">
        <f t="shared" si="7"/>
        <v>52037.083200000001</v>
      </c>
      <c r="I15" s="33"/>
      <c r="J15" s="33">
        <f t="shared" si="6"/>
        <v>3226.2991584000001</v>
      </c>
      <c r="K15" s="33">
        <f t="shared" si="2"/>
        <v>754.53770640000005</v>
      </c>
      <c r="L15">
        <f t="shared" si="3"/>
        <v>378</v>
      </c>
      <c r="M15" s="33"/>
      <c r="N15" s="34"/>
      <c r="O15" s="33">
        <f>(G15*$O$3)</f>
        <v>1040.7416640000001</v>
      </c>
    </row>
    <row r="16" spans="1:18" x14ac:dyDescent="0.2">
      <c r="A16">
        <f t="shared" si="5"/>
        <v>10</v>
      </c>
      <c r="B16" s="58" t="s">
        <v>123</v>
      </c>
      <c r="D16" s="61" t="s">
        <v>262</v>
      </c>
      <c r="E16" s="31">
        <f>3250.8*24</f>
        <v>78019.200000000012</v>
      </c>
      <c r="F16" s="33">
        <f t="shared" si="0"/>
        <v>2340.5760000000005</v>
      </c>
      <c r="G16" s="147">
        <f t="shared" si="1"/>
        <v>80359.776000000013</v>
      </c>
      <c r="H16" s="33">
        <f t="shared" si="7"/>
        <v>80359.776000000013</v>
      </c>
      <c r="I16" s="33"/>
      <c r="J16" s="33">
        <f t="shared" si="6"/>
        <v>4982.3061120000011</v>
      </c>
      <c r="K16" s="33">
        <f t="shared" si="2"/>
        <v>1165.2167520000003</v>
      </c>
      <c r="L16">
        <f t="shared" si="3"/>
        <v>378</v>
      </c>
      <c r="M16" s="33"/>
      <c r="N16" s="34"/>
      <c r="O16" s="33">
        <f>(G16*$O$3)</f>
        <v>1607.1955200000002</v>
      </c>
    </row>
    <row r="17" spans="1:18" x14ac:dyDescent="0.2">
      <c r="A17">
        <f t="shared" si="5"/>
        <v>11</v>
      </c>
      <c r="B17" s="58" t="s">
        <v>220</v>
      </c>
      <c r="D17" s="61" t="s">
        <v>221</v>
      </c>
      <c r="E17" s="31">
        <f>3551.38*24</f>
        <v>85233.12</v>
      </c>
      <c r="F17" s="33">
        <f t="shared" si="0"/>
        <v>2556.9935999999998</v>
      </c>
      <c r="G17" s="147">
        <f t="shared" si="1"/>
        <v>87790.113599999997</v>
      </c>
      <c r="H17" s="33">
        <f t="shared" si="7"/>
        <v>87790.113599999997</v>
      </c>
      <c r="I17" s="33"/>
      <c r="J17" s="33">
        <f t="shared" si="6"/>
        <v>5442.9870431999998</v>
      </c>
      <c r="K17" s="33">
        <f t="shared" si="2"/>
        <v>1272.9566472000001</v>
      </c>
      <c r="L17">
        <f t="shared" si="3"/>
        <v>378</v>
      </c>
      <c r="M17" s="33"/>
      <c r="N17" s="34"/>
      <c r="O17" s="33">
        <f t="shared" si="4"/>
        <v>4389.5056800000002</v>
      </c>
      <c r="R17" s="46"/>
    </row>
    <row r="18" spans="1:18" ht="13.5" thickBot="1" x14ac:dyDescent="0.25">
      <c r="A18" t="s">
        <v>223</v>
      </c>
      <c r="D18" s="33"/>
      <c r="E18" s="33"/>
      <c r="F18" s="114">
        <f>SUM(F7:F17)</f>
        <v>23597.143199999999</v>
      </c>
      <c r="G18" s="148"/>
      <c r="H18" s="56">
        <f>SUM(H7:H17)</f>
        <v>810168.58319999999</v>
      </c>
      <c r="I18" s="33"/>
      <c r="J18" s="33"/>
      <c r="K18" s="33"/>
      <c r="M18" s="33"/>
      <c r="N18" s="34"/>
      <c r="O18" s="33"/>
    </row>
    <row r="19" spans="1:18" ht="13.5" thickTop="1" x14ac:dyDescent="0.2">
      <c r="D19" s="33"/>
      <c r="E19" s="33"/>
      <c r="F19" s="33"/>
      <c r="G19" s="148"/>
      <c r="H19" s="65"/>
      <c r="I19" s="33"/>
      <c r="J19" s="33"/>
      <c r="K19" s="33"/>
      <c r="M19" s="33"/>
      <c r="N19" s="34"/>
      <c r="O19" s="33"/>
    </row>
    <row r="20" spans="1:18" ht="15.75" x14ac:dyDescent="0.25">
      <c r="A20" s="64" t="s">
        <v>126</v>
      </c>
      <c r="D20" s="33"/>
      <c r="E20" s="33"/>
      <c r="F20" s="33"/>
      <c r="G20" s="148"/>
      <c r="H20" s="33"/>
      <c r="I20" s="33"/>
      <c r="J20" s="33"/>
      <c r="K20" s="33"/>
      <c r="N20" s="34"/>
      <c r="O20" s="34"/>
      <c r="R20" s="58" t="s">
        <v>263</v>
      </c>
    </row>
    <row r="21" spans="1:18" x14ac:dyDescent="0.2">
      <c r="A21">
        <f>A17+1</f>
        <v>12</v>
      </c>
      <c r="B21" t="s">
        <v>127</v>
      </c>
      <c r="D21" s="85" t="s">
        <v>264</v>
      </c>
      <c r="E21" s="31">
        <f>1931.5*24</f>
        <v>46356</v>
      </c>
      <c r="F21" s="137">
        <v>3644</v>
      </c>
      <c r="G21" s="147">
        <f>SUM(E21:F21)</f>
        <v>50000</v>
      </c>
      <c r="H21" s="33">
        <f>G21</f>
        <v>50000</v>
      </c>
      <c r="I21" s="33"/>
      <c r="J21" s="33">
        <f>G21*$J$4</f>
        <v>3100</v>
      </c>
      <c r="K21" s="33">
        <f>G21*$K$4</f>
        <v>725</v>
      </c>
      <c r="L21">
        <f>9000*$L$4</f>
        <v>378</v>
      </c>
      <c r="M21" s="33">
        <f>(150*114%)*12</f>
        <v>2051.9999999999995</v>
      </c>
      <c r="N21" s="34"/>
      <c r="O21" s="33">
        <f>(G21*$O$4)</f>
        <v>2500</v>
      </c>
      <c r="Q21" s="46"/>
      <c r="R21" s="58"/>
    </row>
    <row r="22" spans="1:18" x14ac:dyDescent="0.2">
      <c r="A22">
        <v>13</v>
      </c>
      <c r="B22" t="s">
        <v>129</v>
      </c>
      <c r="D22" s="33" t="s">
        <v>226</v>
      </c>
      <c r="E22" s="31">
        <f>2258.93*24</f>
        <v>54214.319999999992</v>
      </c>
      <c r="F22" s="33">
        <f>E22*$F$4</f>
        <v>1626.4295999999997</v>
      </c>
      <c r="G22" s="147">
        <f>SUM(E22:F22)</f>
        <v>55840.749599999996</v>
      </c>
      <c r="H22" s="33">
        <f>G22</f>
        <v>55840.749599999996</v>
      </c>
      <c r="I22" s="33"/>
      <c r="J22" s="33">
        <f>G22*$J$4</f>
        <v>3462.1264751999997</v>
      </c>
      <c r="K22" s="33">
        <f>G22*$K$4</f>
        <v>809.69086919999995</v>
      </c>
      <c r="L22">
        <f>9000*$L$4</f>
        <v>378</v>
      </c>
      <c r="M22" s="33">
        <f>(250*114%)*12</f>
        <v>3420</v>
      </c>
      <c r="N22" s="34"/>
      <c r="O22" s="33">
        <f>(G22*$O$3)</f>
        <v>1116.8149919999998</v>
      </c>
    </row>
    <row r="23" spans="1:18" x14ac:dyDescent="0.2">
      <c r="A23">
        <v>14</v>
      </c>
      <c r="B23" t="s">
        <v>265</v>
      </c>
      <c r="D23" s="33" t="s">
        <v>130</v>
      </c>
      <c r="E23" s="31">
        <f>2105.72*24</f>
        <v>50537.279999999999</v>
      </c>
      <c r="F23" s="33">
        <f>E23*$F$4</f>
        <v>1516.1183999999998</v>
      </c>
      <c r="G23" s="147">
        <f>SUM(E23:F23)</f>
        <v>52053.398399999998</v>
      </c>
      <c r="H23" s="33">
        <f>G23</f>
        <v>52053.398399999998</v>
      </c>
      <c r="I23" s="33"/>
      <c r="J23" s="33">
        <f>G23*$J$4</f>
        <v>3227.3107007999997</v>
      </c>
      <c r="K23" s="33">
        <f>G23*$K$4</f>
        <v>754.77427680000005</v>
      </c>
      <c r="L23">
        <f>9000*$L$4</f>
        <v>378</v>
      </c>
      <c r="M23" s="33">
        <f>(250*114%)*12</f>
        <v>3420</v>
      </c>
      <c r="N23" s="34"/>
      <c r="O23" s="33">
        <f>(G23*$O$4)</f>
        <v>2602.6699200000003</v>
      </c>
    </row>
    <row r="24" spans="1:18" x14ac:dyDescent="0.2">
      <c r="C24" t="s">
        <v>131</v>
      </c>
      <c r="D24" s="33"/>
      <c r="E24" s="33"/>
      <c r="F24" s="114">
        <f>SUM(F21:F23)</f>
        <v>6786.5479999999989</v>
      </c>
      <c r="G24" s="148"/>
      <c r="H24" s="35">
        <f>SUM(H21:H23)</f>
        <v>157894.14799999999</v>
      </c>
      <c r="I24" s="33"/>
      <c r="J24" s="33"/>
      <c r="K24" s="33"/>
      <c r="N24" s="34"/>
      <c r="O24" s="34"/>
    </row>
    <row r="25" spans="1:18" x14ac:dyDescent="0.2">
      <c r="D25" s="33"/>
      <c r="E25" s="33"/>
      <c r="F25" s="33"/>
      <c r="G25" s="148"/>
      <c r="H25" s="33"/>
      <c r="I25" s="33"/>
      <c r="J25" s="33"/>
      <c r="K25" s="33"/>
      <c r="N25" s="34"/>
      <c r="O25" s="34"/>
    </row>
    <row r="26" spans="1:18" x14ac:dyDescent="0.2">
      <c r="D26" s="33"/>
      <c r="E26" s="33"/>
      <c r="F26" s="33"/>
      <c r="G26" s="148"/>
      <c r="H26" s="33"/>
      <c r="I26" s="33"/>
      <c r="J26" s="33"/>
      <c r="K26" s="33"/>
      <c r="N26" s="34"/>
      <c r="O26" s="34"/>
    </row>
    <row r="27" spans="1:18" x14ac:dyDescent="0.2">
      <c r="A27">
        <v>15</v>
      </c>
      <c r="B27" t="s">
        <v>132</v>
      </c>
      <c r="D27" s="110" t="s">
        <v>266</v>
      </c>
      <c r="E27" s="31">
        <f>2438.4*24</f>
        <v>58521.600000000006</v>
      </c>
      <c r="F27" s="33">
        <f>E27*$F$4</f>
        <v>1755.6480000000001</v>
      </c>
      <c r="G27" s="147">
        <f>SUM(E27:F27)</f>
        <v>60277.248000000007</v>
      </c>
      <c r="H27" s="33">
        <f>G27</f>
        <v>60277.248000000007</v>
      </c>
      <c r="I27" s="33"/>
      <c r="J27" s="33">
        <f>G27*$J$4</f>
        <v>3737.1893760000003</v>
      </c>
      <c r="K27" s="33">
        <f>G27*$K$4</f>
        <v>874.02009600000019</v>
      </c>
      <c r="L27">
        <f>9000*$L$4</f>
        <v>378</v>
      </c>
      <c r="M27" s="33">
        <f>(250*114%)*12</f>
        <v>3420</v>
      </c>
      <c r="N27" s="34"/>
      <c r="O27" s="33">
        <f>(G27*$O$4)</f>
        <v>3013.8624000000004</v>
      </c>
      <c r="Q27" s="46"/>
    </row>
    <row r="28" spans="1:18" x14ac:dyDescent="0.2">
      <c r="A28">
        <v>16</v>
      </c>
      <c r="B28" t="s">
        <v>134</v>
      </c>
      <c r="D28" s="85" t="s">
        <v>267</v>
      </c>
      <c r="E28" s="31">
        <f>1875*24</f>
        <v>45000</v>
      </c>
      <c r="F28" s="137">
        <v>5000</v>
      </c>
      <c r="G28" s="147">
        <f>SUM(E28:F28)</f>
        <v>50000</v>
      </c>
      <c r="H28" s="33">
        <f>G28</f>
        <v>50000</v>
      </c>
      <c r="I28" s="33"/>
      <c r="J28" s="33">
        <f>G28*$J$4</f>
        <v>3100</v>
      </c>
      <c r="K28" s="33">
        <f>G28*$K$4</f>
        <v>725</v>
      </c>
      <c r="L28">
        <f>9000*$L$4</f>
        <v>378</v>
      </c>
      <c r="M28" s="33"/>
      <c r="N28" s="34"/>
      <c r="O28" s="33">
        <f>(G28*$O$3)</f>
        <v>1000</v>
      </c>
      <c r="Q28" s="46"/>
    </row>
    <row r="29" spans="1:18" x14ac:dyDescent="0.2">
      <c r="A29">
        <v>17</v>
      </c>
      <c r="B29" s="58" t="s">
        <v>268</v>
      </c>
      <c r="D29" s="61" t="s">
        <v>140</v>
      </c>
      <c r="E29" s="31">
        <f>2075.18*24</f>
        <v>49804.319999999992</v>
      </c>
      <c r="F29" s="33">
        <f>E29*$F$4</f>
        <v>1494.1295999999998</v>
      </c>
      <c r="G29" s="147">
        <f>SUM(E29:F29)</f>
        <v>51298.449599999993</v>
      </c>
      <c r="H29" s="33">
        <f>G29</f>
        <v>51298.449599999993</v>
      </c>
      <c r="I29" s="33"/>
      <c r="J29" s="33">
        <f>G29*$J$4</f>
        <v>3180.5038751999996</v>
      </c>
      <c r="K29" s="33">
        <f>G29*$K$4</f>
        <v>743.82751919999998</v>
      </c>
      <c r="L29">
        <f>9000*$L$4</f>
        <v>378</v>
      </c>
      <c r="M29" s="33">
        <f>(250*114%)*12</f>
        <v>3420</v>
      </c>
      <c r="N29" s="34"/>
      <c r="O29" s="33">
        <f>(G29*$O$3)</f>
        <v>1025.9689919999998</v>
      </c>
    </row>
    <row r="30" spans="1:18" x14ac:dyDescent="0.2">
      <c r="C30" t="s">
        <v>136</v>
      </c>
      <c r="D30" s="33"/>
      <c r="E30" s="33"/>
      <c r="F30" s="114">
        <f>SUM(F27:F29)</f>
        <v>8249.7775999999994</v>
      </c>
      <c r="G30" s="148"/>
      <c r="H30" s="35">
        <f>SUM(H27:H29)</f>
        <v>161575.69760000001</v>
      </c>
      <c r="I30" s="33"/>
      <c r="J30" s="33"/>
      <c r="K30" s="33"/>
      <c r="N30" s="34"/>
      <c r="O30" s="34"/>
    </row>
    <row r="31" spans="1:18" x14ac:dyDescent="0.2">
      <c r="D31" s="33"/>
      <c r="E31" s="33"/>
      <c r="F31" s="33"/>
      <c r="G31" s="148"/>
      <c r="H31" s="33"/>
      <c r="I31" s="33"/>
      <c r="J31" s="33"/>
      <c r="K31" s="33"/>
      <c r="N31" s="34"/>
      <c r="O31" s="34"/>
    </row>
    <row r="32" spans="1:18" x14ac:dyDescent="0.2">
      <c r="A32">
        <v>18</v>
      </c>
      <c r="B32" s="58" t="s">
        <v>137</v>
      </c>
      <c r="D32" s="110" t="s">
        <v>269</v>
      </c>
      <c r="E32" s="31">
        <f>1931.25*24</f>
        <v>46350</v>
      </c>
      <c r="F32" s="137">
        <v>3650</v>
      </c>
      <c r="G32" s="147">
        <f>SUM(E32:F32)</f>
        <v>50000</v>
      </c>
      <c r="H32" s="33">
        <f>G32</f>
        <v>50000</v>
      </c>
      <c r="I32" s="33"/>
      <c r="J32" s="33">
        <f>G32*$J$4</f>
        <v>3100</v>
      </c>
      <c r="K32" s="33">
        <f>G32*$K$4</f>
        <v>725</v>
      </c>
      <c r="L32">
        <f>9000*$L$4</f>
        <v>378</v>
      </c>
      <c r="M32" s="33">
        <f>(150*114%)*12</f>
        <v>2051.9999999999995</v>
      </c>
      <c r="N32" s="34"/>
      <c r="O32" s="33">
        <v>0</v>
      </c>
      <c r="P32" t="s">
        <v>270</v>
      </c>
    </row>
    <row r="33" spans="1:16" x14ac:dyDescent="0.2">
      <c r="A33">
        <v>19</v>
      </c>
      <c r="B33" s="58" t="s">
        <v>139</v>
      </c>
      <c r="D33" s="61" t="s">
        <v>271</v>
      </c>
      <c r="E33" s="31">
        <f>2162.57*24</f>
        <v>51901.680000000008</v>
      </c>
      <c r="F33" s="33">
        <f>E33*$F$4</f>
        <v>1557.0504000000001</v>
      </c>
      <c r="G33" s="147">
        <f>SUM(E33:F33)</f>
        <v>53458.730400000008</v>
      </c>
      <c r="H33" s="33">
        <f>G33</f>
        <v>53458.730400000008</v>
      </c>
      <c r="I33" s="33"/>
      <c r="J33" s="33">
        <f>G33*$J$4</f>
        <v>3314.4412848000006</v>
      </c>
      <c r="K33" s="33">
        <f>G33*$K$4</f>
        <v>775.15159080000012</v>
      </c>
      <c r="L33">
        <f>9000*$L$4</f>
        <v>378</v>
      </c>
      <c r="M33" s="33">
        <f>(250*114%)*12</f>
        <v>3420</v>
      </c>
      <c r="N33" s="34"/>
      <c r="O33" s="33">
        <f>(G33*$O$4)</f>
        <v>2672.9365200000007</v>
      </c>
      <c r="P33" t="s">
        <v>272</v>
      </c>
    </row>
    <row r="34" spans="1:16" x14ac:dyDescent="0.2">
      <c r="C34" t="s">
        <v>141</v>
      </c>
      <c r="D34" s="33"/>
      <c r="E34" s="33"/>
      <c r="F34" s="114">
        <f>SUM(F32:F33)</f>
        <v>5207.0504000000001</v>
      </c>
      <c r="G34" s="148"/>
      <c r="H34" s="35">
        <f>SUM(H32:H33)</f>
        <v>103458.7304</v>
      </c>
      <c r="I34" s="33"/>
      <c r="J34" s="33"/>
      <c r="K34" s="33"/>
      <c r="N34" s="34"/>
      <c r="O34" s="34"/>
    </row>
    <row r="35" spans="1:16" x14ac:dyDescent="0.2">
      <c r="D35" s="33"/>
      <c r="E35" s="33"/>
      <c r="F35" s="33"/>
      <c r="G35" s="148"/>
      <c r="H35" s="33"/>
      <c r="I35" s="33"/>
      <c r="J35" s="33"/>
      <c r="K35" s="33"/>
      <c r="N35" s="34"/>
      <c r="O35" s="34"/>
    </row>
    <row r="36" spans="1:16" x14ac:dyDescent="0.2">
      <c r="A36">
        <v>20</v>
      </c>
      <c r="B36" s="58" t="s">
        <v>142</v>
      </c>
      <c r="D36" s="85" t="s">
        <v>273</v>
      </c>
      <c r="E36" s="31">
        <f>1931.25*24</f>
        <v>46350</v>
      </c>
      <c r="F36" s="137">
        <v>3650</v>
      </c>
      <c r="G36" s="147">
        <f>SUM(E36:F36)</f>
        <v>50000</v>
      </c>
      <c r="H36" s="33">
        <f>G36</f>
        <v>50000</v>
      </c>
      <c r="I36" s="33"/>
      <c r="J36" s="33">
        <f>G36*$J$4</f>
        <v>3100</v>
      </c>
      <c r="K36" s="33">
        <f>G36*$K$4</f>
        <v>725</v>
      </c>
      <c r="L36">
        <f>9000*$L$4</f>
        <v>378</v>
      </c>
      <c r="M36" s="33">
        <f>(250*114%)*12</f>
        <v>3420</v>
      </c>
      <c r="N36" s="34"/>
      <c r="O36" s="33">
        <f>(G36*$O$4)</f>
        <v>2500</v>
      </c>
      <c r="P36" t="s">
        <v>272</v>
      </c>
    </row>
    <row r="37" spans="1:16" x14ac:dyDescent="0.2">
      <c r="A37">
        <v>21</v>
      </c>
      <c r="B37" s="58" t="s">
        <v>144</v>
      </c>
      <c r="D37" s="110" t="s">
        <v>274</v>
      </c>
      <c r="E37" s="31">
        <f>2232.01*24</f>
        <v>53568.240000000005</v>
      </c>
      <c r="F37" s="33">
        <f>E37*$F$4</f>
        <v>1607.0472000000002</v>
      </c>
      <c r="G37" s="147">
        <f>SUM(E37:F37)</f>
        <v>55175.287200000006</v>
      </c>
      <c r="H37" s="33">
        <f>G37</f>
        <v>55175.287200000006</v>
      </c>
      <c r="I37" s="33"/>
      <c r="J37" s="33">
        <f>G37*$J$4</f>
        <v>3420.8678064000005</v>
      </c>
      <c r="K37" s="33">
        <f>G37*$K$4</f>
        <v>800.04166440000017</v>
      </c>
      <c r="L37">
        <f>9000*$L$4</f>
        <v>378</v>
      </c>
      <c r="M37" s="33">
        <f>(250*114%)*12</f>
        <v>3420</v>
      </c>
      <c r="N37" s="34"/>
      <c r="O37" s="33">
        <f>(G37*$O$4)</f>
        <v>2758.7643600000006</v>
      </c>
    </row>
    <row r="38" spans="1:16" x14ac:dyDescent="0.2">
      <c r="C38" t="s">
        <v>146</v>
      </c>
      <c r="D38" s="33"/>
      <c r="E38" s="33"/>
      <c r="F38" s="114">
        <f>SUM(F36:F37)</f>
        <v>5257.0472</v>
      </c>
      <c r="G38" s="148"/>
      <c r="H38" s="35">
        <f>SUM(H36:H37)</f>
        <v>105175.28720000001</v>
      </c>
      <c r="I38" s="33"/>
      <c r="J38" s="33"/>
      <c r="K38" s="33"/>
      <c r="N38" s="34"/>
      <c r="O38" s="34"/>
    </row>
    <row r="39" spans="1:16" x14ac:dyDescent="0.2">
      <c r="D39" s="33"/>
      <c r="E39" s="111"/>
      <c r="F39" s="112"/>
      <c r="G39" s="149"/>
      <c r="H39" s="113"/>
      <c r="I39" s="33"/>
      <c r="J39" s="33"/>
      <c r="K39" s="33"/>
      <c r="N39" s="34"/>
      <c r="O39" s="34"/>
    </row>
    <row r="40" spans="1:16" x14ac:dyDescent="0.2">
      <c r="D40" s="33"/>
      <c r="E40" s="33"/>
      <c r="F40" s="33"/>
      <c r="G40" s="148"/>
      <c r="H40" s="35"/>
      <c r="I40" s="33"/>
      <c r="J40" s="33"/>
      <c r="K40" s="33"/>
      <c r="N40" s="34"/>
      <c r="O40" s="34"/>
    </row>
    <row r="41" spans="1:16" x14ac:dyDescent="0.2">
      <c r="A41">
        <v>22</v>
      </c>
      <c r="B41" s="58" t="s">
        <v>147</v>
      </c>
      <c r="D41" s="110" t="s">
        <v>275</v>
      </c>
      <c r="E41" s="31">
        <f>3226.91*24</f>
        <v>77445.84</v>
      </c>
      <c r="F41" s="33">
        <f>E41*$F$4</f>
        <v>2323.3751999999999</v>
      </c>
      <c r="G41" s="147">
        <f>SUM(E41:F41)</f>
        <v>79769.215199999991</v>
      </c>
      <c r="H41" s="33">
        <f>G41</f>
        <v>79769.215199999991</v>
      </c>
      <c r="I41" s="33"/>
      <c r="J41" s="33">
        <f>G41*$J$4</f>
        <v>4945.6913423999995</v>
      </c>
      <c r="K41" s="33">
        <f>G41*$K$4</f>
        <v>1156.6536203999999</v>
      </c>
      <c r="L41">
        <f>9000*$L$4</f>
        <v>378</v>
      </c>
      <c r="M41" s="33">
        <f>(150*114%)*12</f>
        <v>2051.9999999999995</v>
      </c>
      <c r="N41" s="34"/>
      <c r="O41" s="33">
        <f>(G41*$O$4)</f>
        <v>3988.4607599999999</v>
      </c>
      <c r="P41" t="s">
        <v>272</v>
      </c>
    </row>
    <row r="42" spans="1:16" x14ac:dyDescent="0.2">
      <c r="A42">
        <v>23</v>
      </c>
      <c r="B42" s="58" t="s">
        <v>149</v>
      </c>
      <c r="D42" s="61" t="s">
        <v>276</v>
      </c>
      <c r="E42" s="31">
        <f>2218.75*24</f>
        <v>53250</v>
      </c>
      <c r="F42" s="33">
        <f>E42*$F$4</f>
        <v>1597.5</v>
      </c>
      <c r="G42" s="147">
        <f>SUM(E42:F42)</f>
        <v>54847.5</v>
      </c>
      <c r="H42" s="33">
        <f>G42</f>
        <v>54847.5</v>
      </c>
      <c r="I42" s="33"/>
      <c r="J42" s="33">
        <f>G42*$J$4</f>
        <v>3400.5450000000001</v>
      </c>
      <c r="K42" s="33">
        <f>G42*$K$4</f>
        <v>795.28875000000005</v>
      </c>
      <c r="L42">
        <f>9000*$L$4</f>
        <v>378</v>
      </c>
      <c r="M42" s="33">
        <f>(250*114%)*12</f>
        <v>3420</v>
      </c>
      <c r="N42" s="34"/>
      <c r="O42" s="33">
        <f>(G42*$O$4)</f>
        <v>2742.375</v>
      </c>
      <c r="P42" t="s">
        <v>272</v>
      </c>
    </row>
    <row r="43" spans="1:16" x14ac:dyDescent="0.2">
      <c r="C43" t="s">
        <v>224</v>
      </c>
      <c r="D43" s="33"/>
      <c r="E43" s="33"/>
      <c r="F43" s="114">
        <f>SUM(F41:F42)</f>
        <v>3920.8751999999999</v>
      </c>
      <c r="G43" s="148"/>
      <c r="H43" s="35">
        <f>SUM(H41:H42)</f>
        <v>134616.71519999998</v>
      </c>
      <c r="I43" s="33"/>
      <c r="J43" s="33"/>
      <c r="K43" s="33"/>
      <c r="N43" s="34"/>
      <c r="O43" s="34"/>
    </row>
    <row r="44" spans="1:16" x14ac:dyDescent="0.2">
      <c r="D44" s="33"/>
      <c r="E44" s="33"/>
      <c r="F44" s="33"/>
      <c r="G44" s="148"/>
      <c r="H44" s="35"/>
      <c r="I44" s="33"/>
      <c r="J44" s="33"/>
      <c r="K44" s="33"/>
      <c r="N44" s="34"/>
      <c r="O44" s="34"/>
    </row>
    <row r="45" spans="1:16" x14ac:dyDescent="0.2">
      <c r="A45">
        <v>24</v>
      </c>
      <c r="B45" s="58" t="s">
        <v>225</v>
      </c>
      <c r="D45" s="110" t="s">
        <v>277</v>
      </c>
      <c r="E45" s="31">
        <f>2187.5*24</f>
        <v>52500</v>
      </c>
      <c r="F45" s="33">
        <f>E45*$F$4</f>
        <v>1575</v>
      </c>
      <c r="G45" s="147">
        <f>SUM(E45:F45)</f>
        <v>54075</v>
      </c>
      <c r="H45" s="33">
        <f>G45</f>
        <v>54075</v>
      </c>
      <c r="I45" s="33"/>
      <c r="J45" s="33">
        <f>G45*$J$4</f>
        <v>3352.65</v>
      </c>
      <c r="K45" s="33">
        <f>G45*$K$4</f>
        <v>784.08750000000009</v>
      </c>
      <c r="L45">
        <f>9000*$L$4</f>
        <v>378</v>
      </c>
      <c r="M45" s="33">
        <f>(250*114%)*12</f>
        <v>3420</v>
      </c>
      <c r="N45" s="34"/>
      <c r="O45" s="33">
        <v>0</v>
      </c>
    </row>
    <row r="46" spans="1:16" x14ac:dyDescent="0.2">
      <c r="A46">
        <v>25</v>
      </c>
      <c r="B46" s="130" t="s">
        <v>278</v>
      </c>
      <c r="C46" s="131"/>
      <c r="D46" s="110" t="s">
        <v>163</v>
      </c>
      <c r="E46" s="31"/>
      <c r="F46" s="33"/>
      <c r="G46" s="147">
        <v>50000</v>
      </c>
      <c r="H46" s="33">
        <f>G46</f>
        <v>50000</v>
      </c>
      <c r="I46" s="33"/>
      <c r="J46" s="33">
        <f>G46*$J$4</f>
        <v>3100</v>
      </c>
      <c r="K46" s="33">
        <f>G46*$K$4</f>
        <v>725</v>
      </c>
      <c r="L46">
        <f>9000*$L$4</f>
        <v>378</v>
      </c>
      <c r="M46" s="33">
        <f>(250*114%)*12</f>
        <v>3420</v>
      </c>
      <c r="N46" s="34"/>
      <c r="O46" s="33">
        <f>(G46*$O$3)</f>
        <v>1000</v>
      </c>
    </row>
    <row r="47" spans="1:16" x14ac:dyDescent="0.2">
      <c r="C47" t="s">
        <v>227</v>
      </c>
      <c r="D47" s="33"/>
      <c r="E47" s="33"/>
      <c r="F47" s="114">
        <f>SUM(F45:F46)</f>
        <v>1575</v>
      </c>
      <c r="G47" s="148"/>
      <c r="H47" s="35">
        <f>SUM(H45:H46)</f>
        <v>104075</v>
      </c>
      <c r="I47" s="33"/>
      <c r="J47" s="33"/>
      <c r="K47" s="33"/>
      <c r="N47" s="34"/>
      <c r="O47" s="34"/>
    </row>
    <row r="48" spans="1:16" x14ac:dyDescent="0.2">
      <c r="D48" s="33"/>
      <c r="E48" s="33"/>
      <c r="F48" s="66"/>
      <c r="G48" s="148"/>
      <c r="H48" s="35"/>
      <c r="I48" s="33"/>
      <c r="J48" s="33"/>
      <c r="K48" s="33"/>
      <c r="N48" s="34"/>
      <c r="O48" s="34"/>
    </row>
    <row r="49" spans="1:15" x14ac:dyDescent="0.2">
      <c r="A49" s="58" t="s">
        <v>228</v>
      </c>
      <c r="D49" s="33"/>
      <c r="E49" s="33"/>
      <c r="F49" s="33"/>
      <c r="G49" s="148"/>
      <c r="H49" s="33"/>
      <c r="I49" s="33"/>
      <c r="J49" s="92"/>
      <c r="K49" s="33"/>
      <c r="N49" s="34"/>
      <c r="O49" s="34"/>
    </row>
    <row r="50" spans="1:15" x14ac:dyDescent="0.2">
      <c r="A50" s="116">
        <v>26</v>
      </c>
      <c r="B50" t="s">
        <v>154</v>
      </c>
      <c r="D50" s="33" t="s">
        <v>155</v>
      </c>
      <c r="E50" s="31">
        <f>2159.5*24</f>
        <v>51828</v>
      </c>
      <c r="F50" s="33">
        <f>E50*$F$4</f>
        <v>1554.84</v>
      </c>
      <c r="G50" s="147">
        <f>SUM(E50:F50)</f>
        <v>53382.84</v>
      </c>
      <c r="H50" s="33">
        <f>G50</f>
        <v>53382.84</v>
      </c>
      <c r="I50" s="33"/>
      <c r="J50" s="33">
        <f>G50*$J$4</f>
        <v>3309.7360799999997</v>
      </c>
      <c r="K50" s="33">
        <f>G50*$K$4</f>
        <v>774.05118000000004</v>
      </c>
      <c r="L50">
        <f t="shared" ref="L50:L59" si="8">9000*$L$4</f>
        <v>378</v>
      </c>
      <c r="M50" s="33">
        <f>(150*114%)*12</f>
        <v>2051.9999999999995</v>
      </c>
      <c r="N50" s="34"/>
      <c r="O50" s="33">
        <f>(G50*$O$3)</f>
        <v>1067.6568</v>
      </c>
    </row>
    <row r="51" spans="1:15" x14ac:dyDescent="0.2">
      <c r="A51" s="116">
        <v>27</v>
      </c>
      <c r="B51" s="58" t="s">
        <v>229</v>
      </c>
      <c r="D51" s="61" t="s">
        <v>279</v>
      </c>
      <c r="E51" s="31">
        <f>30.9*(180*5)</f>
        <v>27810</v>
      </c>
      <c r="F51" s="33">
        <f>E51*$F$4</f>
        <v>834.3</v>
      </c>
      <c r="G51" s="147">
        <f>SUM(E51:F51)</f>
        <v>28644.3</v>
      </c>
      <c r="H51" s="33">
        <f>G51</f>
        <v>28644.3</v>
      </c>
      <c r="I51" s="33"/>
      <c r="J51" s="33">
        <f>G51*$J$4</f>
        <v>1775.9466</v>
      </c>
      <c r="K51" s="33">
        <f>G51*$K$4</f>
        <v>415.34235000000001</v>
      </c>
      <c r="L51">
        <f t="shared" si="8"/>
        <v>378</v>
      </c>
      <c r="M51" s="33">
        <f>(150*114%)*12</f>
        <v>2051.9999999999995</v>
      </c>
      <c r="N51" s="34"/>
      <c r="O51" s="61">
        <v>0</v>
      </c>
    </row>
    <row r="52" spans="1:15" x14ac:dyDescent="0.2">
      <c r="A52" s="116">
        <v>28</v>
      </c>
      <c r="B52" s="58" t="s">
        <v>280</v>
      </c>
      <c r="D52" s="110" t="s">
        <v>230</v>
      </c>
      <c r="E52" s="31"/>
      <c r="F52" s="33"/>
      <c r="G52" s="147">
        <v>0</v>
      </c>
      <c r="H52" s="33">
        <v>0</v>
      </c>
      <c r="I52" s="33"/>
      <c r="J52" s="33">
        <v>0</v>
      </c>
      <c r="K52" s="33">
        <v>0</v>
      </c>
      <c r="L52" s="33">
        <v>0</v>
      </c>
      <c r="M52" s="33">
        <v>0</v>
      </c>
      <c r="N52" s="34"/>
      <c r="O52" s="61">
        <v>0</v>
      </c>
    </row>
    <row r="53" spans="1:15" x14ac:dyDescent="0.2">
      <c r="A53" s="116">
        <v>29</v>
      </c>
      <c r="B53" t="s">
        <v>156</v>
      </c>
      <c r="D53" s="61" t="s">
        <v>157</v>
      </c>
      <c r="E53" s="31">
        <f>3067.04*24</f>
        <v>73608.959999999992</v>
      </c>
      <c r="F53" s="33">
        <f>E53*$F$4</f>
        <v>2208.2687999999998</v>
      </c>
      <c r="G53" s="147">
        <f>SUM(E53:F53)</f>
        <v>75817.228799999997</v>
      </c>
      <c r="H53" s="33">
        <f>G53</f>
        <v>75817.228799999997</v>
      </c>
      <c r="I53" s="33"/>
      <c r="J53" s="33">
        <f>G53*$J$4</f>
        <v>4700.6681855999996</v>
      </c>
      <c r="K53" s="33">
        <f>G53*$K$4</f>
        <v>1099.3498176000001</v>
      </c>
      <c r="L53">
        <f t="shared" si="8"/>
        <v>378</v>
      </c>
      <c r="M53" s="33">
        <f>(150*114%)*12</f>
        <v>2051.9999999999995</v>
      </c>
      <c r="N53" s="34"/>
      <c r="O53" s="33">
        <f>(G53*$O$4)</f>
        <v>3790.8614400000001</v>
      </c>
    </row>
    <row r="54" spans="1:15" x14ac:dyDescent="0.2">
      <c r="A54" s="116">
        <v>30</v>
      </c>
      <c r="B54" s="58" t="s">
        <v>158</v>
      </c>
      <c r="D54" s="61" t="s">
        <v>281</v>
      </c>
      <c r="E54" s="31">
        <f>1875*24</f>
        <v>45000</v>
      </c>
      <c r="F54" s="137">
        <v>5000</v>
      </c>
      <c r="G54" s="147">
        <f>SUM(E54:F54)</f>
        <v>50000</v>
      </c>
      <c r="H54" s="33">
        <f>G54</f>
        <v>50000</v>
      </c>
      <c r="I54" s="33"/>
      <c r="J54" s="33">
        <f>G54*$J$4</f>
        <v>3100</v>
      </c>
      <c r="K54" s="33">
        <f>G54*$K$4</f>
        <v>725</v>
      </c>
      <c r="L54">
        <f t="shared" si="8"/>
        <v>378</v>
      </c>
      <c r="M54" s="33">
        <f>(150*114%)*12</f>
        <v>2051.9999999999995</v>
      </c>
      <c r="N54" s="34"/>
      <c r="O54" s="33">
        <f>(G54*$O$4)</f>
        <v>2500</v>
      </c>
    </row>
    <row r="55" spans="1:15" x14ac:dyDescent="0.2">
      <c r="A55" s="116">
        <v>31</v>
      </c>
      <c r="B55" s="58" t="s">
        <v>158</v>
      </c>
      <c r="D55" s="85" t="s">
        <v>282</v>
      </c>
      <c r="E55" s="31">
        <f>1875*24</f>
        <v>45000</v>
      </c>
      <c r="F55" s="137">
        <v>5000</v>
      </c>
      <c r="G55" s="147">
        <f>SUM(E55:F55)</f>
        <v>50000</v>
      </c>
      <c r="H55" s="33">
        <f>G55</f>
        <v>50000</v>
      </c>
      <c r="I55" s="33"/>
      <c r="J55" s="33">
        <f>G55*$J$4</f>
        <v>3100</v>
      </c>
      <c r="K55" s="33">
        <f>G55*$K$4</f>
        <v>725</v>
      </c>
      <c r="L55">
        <f t="shared" si="8"/>
        <v>378</v>
      </c>
      <c r="M55" s="33">
        <f>(250*114%)*12</f>
        <v>3420</v>
      </c>
      <c r="N55" s="34"/>
      <c r="O55" s="33">
        <f>(G55*$O$3)</f>
        <v>1000</v>
      </c>
    </row>
    <row r="56" spans="1:15" x14ac:dyDescent="0.2">
      <c r="A56" s="116"/>
      <c r="B56" s="58"/>
      <c r="C56" t="s">
        <v>164</v>
      </c>
      <c r="D56" s="33"/>
      <c r="E56" s="33"/>
      <c r="F56" s="114">
        <f>SUM(F50:F55)</f>
        <v>14597.408799999999</v>
      </c>
      <c r="G56" s="148"/>
      <c r="H56" s="35">
        <f>SUM(H50:H55)</f>
        <v>257844.3688</v>
      </c>
      <c r="I56" s="33"/>
      <c r="J56" s="33"/>
      <c r="K56" s="33"/>
      <c r="M56" s="33"/>
      <c r="N56" s="34"/>
      <c r="O56" s="33"/>
    </row>
    <row r="57" spans="1:15" x14ac:dyDescent="0.2">
      <c r="A57" s="116"/>
      <c r="B57" s="58"/>
      <c r="D57" s="33"/>
      <c r="E57" s="33"/>
      <c r="F57" s="33"/>
      <c r="G57" s="148"/>
      <c r="H57" s="33"/>
      <c r="I57" s="33"/>
      <c r="J57" s="33"/>
      <c r="K57" s="33"/>
      <c r="M57" s="33"/>
      <c r="N57" s="34"/>
      <c r="O57" s="33"/>
    </row>
    <row r="58" spans="1:15" x14ac:dyDescent="0.2">
      <c r="A58" s="116">
        <v>32</v>
      </c>
      <c r="B58" s="58" t="s">
        <v>283</v>
      </c>
      <c r="D58" s="61" t="s">
        <v>231</v>
      </c>
      <c r="E58" s="31">
        <f>17.5*(180*7)</f>
        <v>22050</v>
      </c>
      <c r="F58" s="33">
        <f>E58*$F$4</f>
        <v>661.5</v>
      </c>
      <c r="G58" s="147">
        <f>SUM(E58:F58)</f>
        <v>22711.5</v>
      </c>
      <c r="H58" s="33">
        <f>G58</f>
        <v>22711.5</v>
      </c>
      <c r="I58" s="33"/>
      <c r="J58" s="33">
        <f>G58*$J$4</f>
        <v>1408.1130000000001</v>
      </c>
      <c r="K58" s="33">
        <f>G58*$K$4</f>
        <v>329.31675000000001</v>
      </c>
      <c r="L58">
        <f t="shared" si="8"/>
        <v>378</v>
      </c>
      <c r="M58" s="33">
        <v>0</v>
      </c>
      <c r="N58" s="34"/>
      <c r="O58" s="33">
        <v>0</v>
      </c>
    </row>
    <row r="59" spans="1:15" x14ac:dyDescent="0.2">
      <c r="A59" s="116">
        <v>33</v>
      </c>
      <c r="B59" s="58" t="s">
        <v>283</v>
      </c>
      <c r="D59" s="85" t="s">
        <v>230</v>
      </c>
      <c r="E59" s="31">
        <f>17.5*(180*7)</f>
        <v>22050</v>
      </c>
      <c r="F59" s="33">
        <f>E59*$F$4</f>
        <v>661.5</v>
      </c>
      <c r="G59" s="147">
        <f>SUM(E59:F59)</f>
        <v>22711.5</v>
      </c>
      <c r="H59" s="33">
        <f>G59</f>
        <v>22711.5</v>
      </c>
      <c r="I59" s="33"/>
      <c r="J59" s="33">
        <f>G59*$J$4</f>
        <v>1408.1130000000001</v>
      </c>
      <c r="K59" s="33">
        <f>G59*$K$4</f>
        <v>329.31675000000001</v>
      </c>
      <c r="L59">
        <f t="shared" si="8"/>
        <v>378</v>
      </c>
      <c r="M59" s="33">
        <v>0</v>
      </c>
      <c r="N59" s="34"/>
      <c r="O59" s="33">
        <v>0</v>
      </c>
    </row>
    <row r="60" spans="1:15" x14ac:dyDescent="0.2">
      <c r="A60" s="58"/>
      <c r="C60" t="s">
        <v>232</v>
      </c>
      <c r="D60" s="33"/>
      <c r="E60" s="33"/>
      <c r="F60" s="33"/>
      <c r="G60" s="148"/>
      <c r="H60" s="35">
        <f>SUM(H58:H59)</f>
        <v>45423</v>
      </c>
      <c r="I60" s="33"/>
      <c r="J60" s="33"/>
      <c r="K60" s="33"/>
      <c r="M60" s="33"/>
      <c r="N60" s="34"/>
      <c r="O60" s="33"/>
    </row>
    <row r="61" spans="1:15" x14ac:dyDescent="0.2">
      <c r="C61" s="13" t="s">
        <v>165</v>
      </c>
      <c r="D61" s="33"/>
      <c r="E61" s="33"/>
      <c r="F61" s="33"/>
      <c r="G61" s="148"/>
      <c r="H61" s="59">
        <f>H24+H30+H34+H38+H43+H47+H56+H60</f>
        <v>1070062.9472000001</v>
      </c>
      <c r="I61" s="35"/>
      <c r="J61" s="92"/>
      <c r="K61" s="33"/>
      <c r="N61" s="34"/>
      <c r="O61" s="34"/>
    </row>
    <row r="62" spans="1:15" ht="15.75" x14ac:dyDescent="0.25">
      <c r="A62" s="64"/>
      <c r="D62" s="33"/>
      <c r="E62" s="33"/>
      <c r="F62" s="33"/>
      <c r="G62" s="148"/>
      <c r="H62" s="33"/>
      <c r="I62" s="31"/>
      <c r="J62" s="33"/>
      <c r="K62" s="33"/>
      <c r="N62" s="34"/>
      <c r="O62" s="34"/>
    </row>
    <row r="63" spans="1:15" x14ac:dyDescent="0.2">
      <c r="A63" s="58">
        <f>+A59+1</f>
        <v>34</v>
      </c>
      <c r="B63" t="s">
        <v>284</v>
      </c>
      <c r="D63" s="85" t="s">
        <v>285</v>
      </c>
      <c r="E63" s="31">
        <f>1169.48*24</f>
        <v>28067.52</v>
      </c>
      <c r="F63" s="33">
        <f t="shared" ref="F63:F76" si="9">E63*$F$4</f>
        <v>842.02559999999994</v>
      </c>
      <c r="G63" s="147">
        <f>SUM(E63:F63)</f>
        <v>28909.545600000001</v>
      </c>
      <c r="H63" s="33">
        <f>G63</f>
        <v>28909.545600000001</v>
      </c>
      <c r="I63" s="33"/>
      <c r="J63" s="33">
        <f>G63*$J$4</f>
        <v>1792.3918272000001</v>
      </c>
      <c r="K63" s="33">
        <f>G63*$K$4</f>
        <v>419.18841120000002</v>
      </c>
      <c r="L63">
        <f t="shared" ref="L63:L76" si="10">9000*$L$4</f>
        <v>378</v>
      </c>
      <c r="M63" s="33"/>
      <c r="N63" s="34"/>
      <c r="O63" s="33">
        <f>(G63*$O$3)</f>
        <v>578.19091200000003</v>
      </c>
    </row>
    <row r="64" spans="1:15" x14ac:dyDescent="0.2">
      <c r="A64" s="58">
        <f>A63+1</f>
        <v>35</v>
      </c>
      <c r="B64" s="58" t="s">
        <v>286</v>
      </c>
      <c r="D64" s="33" t="s">
        <v>171</v>
      </c>
      <c r="E64" s="31">
        <f>1458.71*24</f>
        <v>35009.040000000001</v>
      </c>
      <c r="F64" s="33">
        <f t="shared" si="9"/>
        <v>1050.2711999999999</v>
      </c>
      <c r="G64" s="147">
        <f t="shared" ref="G64:G76" si="11">SUM(E64:F64)</f>
        <v>36059.311200000004</v>
      </c>
      <c r="H64" s="33">
        <f t="shared" ref="H64:H76" si="12">G64</f>
        <v>36059.311200000004</v>
      </c>
      <c r="I64" s="33"/>
      <c r="J64" s="33">
        <f>G64*$J$4</f>
        <v>2235.6772944000004</v>
      </c>
      <c r="K64" s="33">
        <f>G64*$K$4</f>
        <v>522.86001240000007</v>
      </c>
      <c r="L64">
        <f t="shared" si="10"/>
        <v>378</v>
      </c>
      <c r="M64" s="33"/>
      <c r="N64" s="34"/>
      <c r="O64" s="33">
        <f>(G64*$O$4)</f>
        <v>1802.9655600000003</v>
      </c>
    </row>
    <row r="65" spans="1:15" x14ac:dyDescent="0.2">
      <c r="A65" s="58">
        <f t="shared" ref="A65:A76" si="13">A64+1</f>
        <v>36</v>
      </c>
      <c r="B65" s="58" t="s">
        <v>287</v>
      </c>
      <c r="D65" s="85" t="s">
        <v>288</v>
      </c>
      <c r="E65" s="31">
        <f>1217.39*24</f>
        <v>29217.360000000001</v>
      </c>
      <c r="F65" s="33">
        <f t="shared" si="9"/>
        <v>876.52080000000001</v>
      </c>
      <c r="G65" s="147">
        <f t="shared" si="11"/>
        <v>30093.880799999999</v>
      </c>
      <c r="H65" s="33">
        <f t="shared" si="12"/>
        <v>30093.880799999999</v>
      </c>
      <c r="I65" s="33"/>
      <c r="J65" s="33">
        <f t="shared" ref="J65:J71" si="14">G65*$J$4</f>
        <v>1865.8206095999999</v>
      </c>
      <c r="K65" s="33">
        <f t="shared" ref="K65:K71" si="15">G65*$K$4</f>
        <v>436.36127160000001</v>
      </c>
      <c r="L65">
        <f t="shared" si="10"/>
        <v>378</v>
      </c>
      <c r="M65" s="33"/>
      <c r="N65" s="34"/>
      <c r="O65" s="33">
        <f>(G65*$O$3)</f>
        <v>601.87761599999999</v>
      </c>
    </row>
    <row r="66" spans="1:15" x14ac:dyDescent="0.2">
      <c r="A66" s="58">
        <f t="shared" si="13"/>
        <v>37</v>
      </c>
      <c r="B66" s="58" t="s">
        <v>289</v>
      </c>
      <c r="D66" s="61" t="s">
        <v>290</v>
      </c>
      <c r="E66" s="31">
        <f>1458.34*24</f>
        <v>35000.159999999996</v>
      </c>
      <c r="F66" s="33">
        <f t="shared" si="9"/>
        <v>1050.0047999999999</v>
      </c>
      <c r="G66" s="147">
        <f t="shared" si="11"/>
        <v>36050.164799999999</v>
      </c>
      <c r="H66" s="33">
        <f t="shared" si="12"/>
        <v>36050.164799999999</v>
      </c>
      <c r="I66" s="33"/>
      <c r="J66" s="33">
        <f t="shared" si="14"/>
        <v>2235.1102175999999</v>
      </c>
      <c r="K66" s="33">
        <f t="shared" si="15"/>
        <v>522.72738960000004</v>
      </c>
      <c r="L66">
        <f t="shared" si="10"/>
        <v>378</v>
      </c>
      <c r="M66" s="33"/>
      <c r="N66" s="34"/>
      <c r="O66" s="33">
        <f>(G66*$O$4)</f>
        <v>1802.5082400000001</v>
      </c>
    </row>
    <row r="67" spans="1:15" x14ac:dyDescent="0.2">
      <c r="A67" s="58">
        <f t="shared" si="13"/>
        <v>38</v>
      </c>
      <c r="B67" s="58" t="s">
        <v>291</v>
      </c>
      <c r="D67" s="61" t="s">
        <v>169</v>
      </c>
      <c r="E67" s="31">
        <f>1321.8*24</f>
        <v>31723.199999999997</v>
      </c>
      <c r="F67" s="33">
        <f t="shared" si="9"/>
        <v>951.69599999999991</v>
      </c>
      <c r="G67" s="147">
        <f t="shared" si="11"/>
        <v>32674.895999999997</v>
      </c>
      <c r="H67" s="33">
        <f t="shared" si="12"/>
        <v>32674.895999999997</v>
      </c>
      <c r="I67" s="33"/>
      <c r="J67" s="33">
        <f t="shared" si="14"/>
        <v>2025.8435519999998</v>
      </c>
      <c r="K67" s="33">
        <f t="shared" si="15"/>
        <v>473.78599199999996</v>
      </c>
      <c r="L67">
        <f t="shared" si="10"/>
        <v>378</v>
      </c>
      <c r="M67" s="33"/>
      <c r="N67" s="34"/>
      <c r="O67" s="33">
        <f>(G67*$O$4)</f>
        <v>1633.7447999999999</v>
      </c>
    </row>
    <row r="68" spans="1:15" x14ac:dyDescent="0.2">
      <c r="A68" s="58">
        <f t="shared" si="13"/>
        <v>39</v>
      </c>
      <c r="B68" s="58" t="s">
        <v>292</v>
      </c>
      <c r="D68" s="61" t="s">
        <v>293</v>
      </c>
      <c r="E68" s="31">
        <f>1250*24</f>
        <v>30000</v>
      </c>
      <c r="F68" s="33">
        <f t="shared" si="9"/>
        <v>900</v>
      </c>
      <c r="G68" s="147">
        <f t="shared" si="11"/>
        <v>30900</v>
      </c>
      <c r="H68" s="33">
        <f t="shared" si="12"/>
        <v>30900</v>
      </c>
      <c r="I68" s="33"/>
      <c r="J68" s="33">
        <f t="shared" si="14"/>
        <v>1915.8</v>
      </c>
      <c r="K68" s="33">
        <f t="shared" si="15"/>
        <v>448.05</v>
      </c>
      <c r="L68">
        <f t="shared" si="10"/>
        <v>378</v>
      </c>
      <c r="M68" s="33"/>
      <c r="N68" s="34"/>
      <c r="O68" s="33">
        <f>(G68*$O$3)</f>
        <v>618</v>
      </c>
    </row>
    <row r="69" spans="1:15" x14ac:dyDescent="0.2">
      <c r="A69" s="58">
        <f t="shared" si="13"/>
        <v>40</v>
      </c>
      <c r="B69" s="58" t="s">
        <v>294</v>
      </c>
      <c r="D69" s="85" t="s">
        <v>295</v>
      </c>
      <c r="E69" s="31">
        <f>1073.26*24</f>
        <v>25758.239999999998</v>
      </c>
      <c r="F69" s="33">
        <f t="shared" si="9"/>
        <v>772.74719999999991</v>
      </c>
      <c r="G69" s="147">
        <f t="shared" si="11"/>
        <v>26530.9872</v>
      </c>
      <c r="H69" s="33">
        <f t="shared" si="12"/>
        <v>26530.9872</v>
      </c>
      <c r="I69" s="33"/>
      <c r="J69" s="33">
        <f t="shared" si="14"/>
        <v>1644.9212064000001</v>
      </c>
      <c r="K69" s="33">
        <f t="shared" si="15"/>
        <v>384.69931439999999</v>
      </c>
      <c r="L69">
        <f t="shared" si="10"/>
        <v>378</v>
      </c>
      <c r="M69" s="33"/>
      <c r="N69" s="34"/>
      <c r="O69" s="33">
        <f>(G69*$O$4)</f>
        <v>1326.54936</v>
      </c>
    </row>
    <row r="70" spans="1:15" x14ac:dyDescent="0.2">
      <c r="A70" s="58">
        <f t="shared" si="13"/>
        <v>41</v>
      </c>
      <c r="B70" s="58" t="s">
        <v>296</v>
      </c>
      <c r="D70" s="85" t="s">
        <v>297</v>
      </c>
      <c r="E70" s="31">
        <f>1193.51*24</f>
        <v>28644.239999999998</v>
      </c>
      <c r="F70" s="33">
        <f t="shared" si="9"/>
        <v>859.32719999999995</v>
      </c>
      <c r="G70" s="147">
        <f t="shared" si="11"/>
        <v>29503.567199999998</v>
      </c>
      <c r="H70" s="33">
        <f t="shared" si="12"/>
        <v>29503.567199999998</v>
      </c>
      <c r="I70" s="33"/>
      <c r="J70" s="33">
        <f t="shared" si="14"/>
        <v>1829.2211663999999</v>
      </c>
      <c r="K70" s="33">
        <f t="shared" si="15"/>
        <v>427.80172440000001</v>
      </c>
      <c r="L70">
        <f t="shared" si="10"/>
        <v>378</v>
      </c>
      <c r="M70" s="33"/>
      <c r="N70" s="34"/>
      <c r="O70" s="33">
        <f>(G70*$O$4)</f>
        <v>1475.1783599999999</v>
      </c>
    </row>
    <row r="71" spans="1:15" x14ac:dyDescent="0.2">
      <c r="A71" s="58">
        <f t="shared" si="13"/>
        <v>42</v>
      </c>
      <c r="B71" s="58" t="s">
        <v>298</v>
      </c>
      <c r="D71" s="85" t="s">
        <v>299</v>
      </c>
      <c r="E71" s="31">
        <f>1289.53*24</f>
        <v>30948.720000000001</v>
      </c>
      <c r="F71" s="33">
        <f t="shared" si="9"/>
        <v>928.46159999999998</v>
      </c>
      <c r="G71" s="147">
        <f t="shared" si="11"/>
        <v>31877.1816</v>
      </c>
      <c r="H71" s="33">
        <f t="shared" si="12"/>
        <v>31877.1816</v>
      </c>
      <c r="I71" s="33"/>
      <c r="J71" s="33">
        <f t="shared" si="14"/>
        <v>1976.3852592000001</v>
      </c>
      <c r="K71" s="33">
        <f t="shared" si="15"/>
        <v>462.21913320000004</v>
      </c>
      <c r="L71">
        <f t="shared" si="10"/>
        <v>378</v>
      </c>
      <c r="M71" s="33"/>
      <c r="N71" s="34"/>
      <c r="O71" s="33">
        <f>(G71*$O$4)</f>
        <v>1593.8590800000002</v>
      </c>
    </row>
    <row r="72" spans="1:15" x14ac:dyDescent="0.2">
      <c r="A72" s="58">
        <f t="shared" si="13"/>
        <v>43</v>
      </c>
      <c r="B72" s="58" t="s">
        <v>300</v>
      </c>
      <c r="D72" s="110" t="s">
        <v>301</v>
      </c>
      <c r="E72" s="31">
        <f>(1169.48*24)+3759</f>
        <v>31826.52</v>
      </c>
      <c r="F72" s="33">
        <f t="shared" si="9"/>
        <v>954.79559999999992</v>
      </c>
      <c r="G72" s="147">
        <f t="shared" si="11"/>
        <v>32781.315600000002</v>
      </c>
      <c r="H72" s="33">
        <f t="shared" si="12"/>
        <v>32781.315600000002</v>
      </c>
      <c r="I72" s="33"/>
      <c r="J72" s="33">
        <f>G72*$J$4</f>
        <v>2032.4415672</v>
      </c>
      <c r="K72" s="33">
        <f>G72*$K$4</f>
        <v>475.32907620000003</v>
      </c>
      <c r="L72">
        <f t="shared" si="10"/>
        <v>378</v>
      </c>
      <c r="M72" s="33"/>
      <c r="N72" s="34"/>
      <c r="O72" s="33">
        <f>(G72*$O$3)</f>
        <v>655.6263120000001</v>
      </c>
    </row>
    <row r="73" spans="1:15" x14ac:dyDescent="0.2">
      <c r="A73" s="58">
        <f t="shared" si="13"/>
        <v>44</v>
      </c>
      <c r="B73" s="58" t="s">
        <v>302</v>
      </c>
      <c r="D73" s="61" t="s">
        <v>303</v>
      </c>
      <c r="E73" s="31">
        <f>1457.59*24</f>
        <v>34982.159999999996</v>
      </c>
      <c r="F73" s="33">
        <f t="shared" si="9"/>
        <v>1049.4647999999997</v>
      </c>
      <c r="G73" s="147">
        <f t="shared" si="11"/>
        <v>36031.624799999998</v>
      </c>
      <c r="H73" s="33">
        <f t="shared" si="12"/>
        <v>36031.624799999998</v>
      </c>
      <c r="I73" s="33"/>
      <c r="J73" s="33">
        <f>G73*$J$4</f>
        <v>2233.9607375999999</v>
      </c>
      <c r="K73" s="33">
        <f>G73*$K$4</f>
        <v>522.45855959999994</v>
      </c>
      <c r="L73">
        <f t="shared" si="10"/>
        <v>378</v>
      </c>
      <c r="M73" s="33"/>
      <c r="N73" s="34"/>
      <c r="O73" s="33">
        <f>(G73*$O$4)</f>
        <v>1801.58124</v>
      </c>
    </row>
    <row r="74" spans="1:15" x14ac:dyDescent="0.2">
      <c r="A74" s="58">
        <f t="shared" si="13"/>
        <v>45</v>
      </c>
      <c r="B74" s="104" t="s">
        <v>304</v>
      </c>
      <c r="D74" s="61" t="s">
        <v>303</v>
      </c>
      <c r="E74" s="31">
        <v>0</v>
      </c>
      <c r="F74" s="33">
        <f t="shared" si="9"/>
        <v>0</v>
      </c>
      <c r="G74" s="147">
        <f t="shared" si="11"/>
        <v>0</v>
      </c>
      <c r="H74" s="33">
        <f t="shared" si="12"/>
        <v>0</v>
      </c>
      <c r="I74" s="33"/>
      <c r="J74" s="33">
        <v>0</v>
      </c>
      <c r="K74" s="33">
        <v>0</v>
      </c>
      <c r="L74">
        <v>0</v>
      </c>
      <c r="M74" s="33"/>
      <c r="N74" s="34"/>
      <c r="O74" s="33">
        <f>(G74*$O$4)</f>
        <v>0</v>
      </c>
    </row>
    <row r="75" spans="1:15" x14ac:dyDescent="0.2">
      <c r="A75" s="58">
        <f t="shared" si="13"/>
        <v>46</v>
      </c>
      <c r="B75" s="58" t="s">
        <v>305</v>
      </c>
      <c r="D75" s="85" t="s">
        <v>306</v>
      </c>
      <c r="E75" s="31">
        <f>1250*24</f>
        <v>30000</v>
      </c>
      <c r="F75" s="33">
        <f t="shared" si="9"/>
        <v>900</v>
      </c>
      <c r="G75" s="147">
        <f t="shared" si="11"/>
        <v>30900</v>
      </c>
      <c r="H75" s="33">
        <f t="shared" si="12"/>
        <v>30900</v>
      </c>
      <c r="I75" s="33"/>
      <c r="J75" s="33">
        <f>G75*$J$4</f>
        <v>1915.8</v>
      </c>
      <c r="K75" s="33">
        <f>G75*$K$4</f>
        <v>448.05</v>
      </c>
      <c r="L75">
        <f t="shared" si="10"/>
        <v>378</v>
      </c>
      <c r="M75" s="33">
        <f>(150*114%)*12</f>
        <v>2051.9999999999995</v>
      </c>
      <c r="N75" s="34"/>
      <c r="O75" s="33">
        <f>(G75*$O$3)</f>
        <v>618</v>
      </c>
    </row>
    <row r="76" spans="1:15" x14ac:dyDescent="0.2">
      <c r="A76" s="58">
        <f t="shared" si="13"/>
        <v>47</v>
      </c>
      <c r="B76" s="58" t="s">
        <v>307</v>
      </c>
      <c r="D76" s="110" t="s">
        <v>306</v>
      </c>
      <c r="E76" s="31"/>
      <c r="F76" s="33">
        <f t="shared" si="9"/>
        <v>0</v>
      </c>
      <c r="G76" s="147">
        <f t="shared" si="11"/>
        <v>0</v>
      </c>
      <c r="H76" s="33">
        <f t="shared" si="12"/>
        <v>0</v>
      </c>
      <c r="I76" s="33"/>
      <c r="J76" s="33">
        <f>G76*$J$4</f>
        <v>0</v>
      </c>
      <c r="K76" s="33">
        <f>G76*$K$4</f>
        <v>0</v>
      </c>
      <c r="L76">
        <f t="shared" si="10"/>
        <v>378</v>
      </c>
      <c r="M76" s="33">
        <f>(150*114%)*12</f>
        <v>2051.9999999999995</v>
      </c>
      <c r="N76" s="34"/>
      <c r="O76" s="33">
        <v>0</v>
      </c>
    </row>
    <row r="77" spans="1:15" x14ac:dyDescent="0.2">
      <c r="A77" s="58"/>
      <c r="D77" s="85"/>
      <c r="E77" s="31"/>
      <c r="F77" s="33"/>
      <c r="G77" s="147"/>
      <c r="H77" s="33">
        <f>G77</f>
        <v>0</v>
      </c>
      <c r="I77" s="33"/>
      <c r="J77" s="33"/>
      <c r="K77" s="33"/>
      <c r="M77" s="33"/>
      <c r="N77" s="34"/>
      <c r="O77" s="33"/>
    </row>
    <row r="78" spans="1:15" x14ac:dyDescent="0.2">
      <c r="A78" s="58"/>
      <c r="C78" s="13" t="s">
        <v>184</v>
      </c>
      <c r="D78" s="33"/>
      <c r="E78" s="33"/>
      <c r="F78" s="33"/>
      <c r="G78" s="148"/>
      <c r="H78" s="59">
        <f>SUM(H63:H77)</f>
        <v>382312.47479999997</v>
      </c>
      <c r="I78" s="33"/>
      <c r="J78" s="33"/>
      <c r="K78" s="33"/>
      <c r="N78" s="34"/>
      <c r="O78" s="34"/>
    </row>
    <row r="79" spans="1:15" x14ac:dyDescent="0.2">
      <c r="A79" s="58"/>
      <c r="B79" s="58" t="s">
        <v>308</v>
      </c>
      <c r="D79" s="33"/>
      <c r="E79" s="33"/>
      <c r="F79" s="33"/>
      <c r="G79" s="148"/>
      <c r="H79" s="33"/>
      <c r="I79" s="33"/>
      <c r="J79" s="33"/>
      <c r="K79" s="33"/>
      <c r="N79" s="34"/>
      <c r="O79" s="34"/>
    </row>
    <row r="80" spans="1:15" x14ac:dyDescent="0.2">
      <c r="A80" s="58"/>
      <c r="D80" s="33"/>
      <c r="E80" s="33"/>
      <c r="F80" s="33"/>
      <c r="G80" s="148"/>
      <c r="H80" s="33"/>
      <c r="I80" s="33"/>
      <c r="J80" s="33"/>
      <c r="K80" s="33"/>
      <c r="N80" s="34"/>
      <c r="O80" s="34"/>
    </row>
    <row r="81" spans="1:18" x14ac:dyDescent="0.2">
      <c r="A81">
        <v>48</v>
      </c>
      <c r="B81" t="s">
        <v>185</v>
      </c>
      <c r="D81" s="61" t="s">
        <v>186</v>
      </c>
      <c r="E81" s="31">
        <f>1518.82*24</f>
        <v>36451.68</v>
      </c>
      <c r="F81" s="33">
        <f>E81*$F$4</f>
        <v>1093.5504000000001</v>
      </c>
      <c r="G81" s="147">
        <f>SUM(E81:F81)</f>
        <v>37545.2304</v>
      </c>
      <c r="H81" s="33">
        <f>G81</f>
        <v>37545.2304</v>
      </c>
      <c r="I81" s="33"/>
      <c r="J81" s="33">
        <f>G81*$J$4</f>
        <v>2327.8042848</v>
      </c>
      <c r="K81" s="33">
        <f>G81*$K$4</f>
        <v>544.40584080000008</v>
      </c>
      <c r="L81">
        <f>9000*$L$4</f>
        <v>378</v>
      </c>
      <c r="M81" s="33">
        <f>(250*114%)*12</f>
        <v>3420</v>
      </c>
      <c r="N81" s="34"/>
      <c r="O81" s="33">
        <f>(G81*$O$3)</f>
        <v>750.90460800000005</v>
      </c>
    </row>
    <row r="82" spans="1:18" x14ac:dyDescent="0.2">
      <c r="D82" s="61"/>
      <c r="E82" s="33"/>
      <c r="F82" s="33"/>
      <c r="G82" s="148"/>
      <c r="H82" s="33"/>
      <c r="I82" s="33"/>
      <c r="J82" s="33"/>
      <c r="K82" s="33"/>
      <c r="M82" s="33"/>
      <c r="N82" s="34"/>
      <c r="O82" s="33"/>
    </row>
    <row r="83" spans="1:18" x14ac:dyDescent="0.2">
      <c r="C83" s="13" t="s">
        <v>233</v>
      </c>
      <c r="D83" s="61"/>
      <c r="E83" s="33"/>
      <c r="F83" s="33"/>
      <c r="G83" s="148"/>
      <c r="H83" s="59">
        <f>SUM(H81:H82)</f>
        <v>37545.2304</v>
      </c>
      <c r="I83" s="33"/>
      <c r="J83" s="33"/>
      <c r="K83" s="33"/>
      <c r="M83" s="33"/>
      <c r="N83" s="34"/>
      <c r="O83" s="33"/>
    </row>
    <row r="84" spans="1:18" x14ac:dyDescent="0.2">
      <c r="B84" s="26"/>
      <c r="D84" s="33"/>
      <c r="E84" s="33"/>
      <c r="F84" s="33"/>
      <c r="G84" s="148"/>
      <c r="H84" s="33"/>
      <c r="I84" s="33"/>
      <c r="J84" s="33"/>
      <c r="K84" s="33"/>
      <c r="N84" s="34"/>
      <c r="O84" s="34"/>
    </row>
    <row r="85" spans="1:18" x14ac:dyDescent="0.2">
      <c r="A85">
        <v>49</v>
      </c>
      <c r="B85" s="58" t="s">
        <v>309</v>
      </c>
      <c r="D85" s="61" t="s">
        <v>188</v>
      </c>
      <c r="E85" s="31">
        <f>13.5*(180*7)</f>
        <v>17010</v>
      </c>
      <c r="F85" s="33">
        <f>0.5*(180*7)</f>
        <v>630</v>
      </c>
      <c r="G85" s="147">
        <f>SUM(E85:F85)</f>
        <v>17640</v>
      </c>
      <c r="H85" s="33">
        <f>G85</f>
        <v>17640</v>
      </c>
      <c r="I85" s="33"/>
      <c r="J85" s="33">
        <f>G85*$J$4</f>
        <v>1093.68</v>
      </c>
      <c r="K85" s="33">
        <f>G85*$K$4</f>
        <v>255.78</v>
      </c>
      <c r="L85">
        <f>9000*$L$4</f>
        <v>378</v>
      </c>
      <c r="M85" s="33">
        <v>0</v>
      </c>
      <c r="N85" s="34"/>
      <c r="O85" s="33">
        <f>(G85*$O$4)</f>
        <v>882</v>
      </c>
    </row>
    <row r="86" spans="1:18" x14ac:dyDescent="0.2">
      <c r="A86">
        <v>50</v>
      </c>
      <c r="B86" s="58" t="s">
        <v>310</v>
      </c>
      <c r="D86" s="61" t="s">
        <v>190</v>
      </c>
      <c r="E86" s="31">
        <f>13.5*(180*7)</f>
        <v>17010</v>
      </c>
      <c r="F86" s="33">
        <f>0.5*(180*7)</f>
        <v>630</v>
      </c>
      <c r="G86" s="147">
        <f>SUM(E86:F86)</f>
        <v>17640</v>
      </c>
      <c r="H86" s="33">
        <f>G86</f>
        <v>17640</v>
      </c>
      <c r="I86" s="33"/>
      <c r="J86" s="33">
        <f>G86*$J$4</f>
        <v>1093.68</v>
      </c>
      <c r="K86" s="33">
        <f>G86*$K$4</f>
        <v>255.78</v>
      </c>
      <c r="L86">
        <f>9000*$L$4</f>
        <v>378</v>
      </c>
      <c r="M86" s="33">
        <v>0</v>
      </c>
      <c r="N86" s="34"/>
      <c r="O86" s="33">
        <f>(G86*$O$4)</f>
        <v>882</v>
      </c>
    </row>
    <row r="87" spans="1:18" x14ac:dyDescent="0.2">
      <c r="A87">
        <v>51</v>
      </c>
      <c r="B87" s="58" t="s">
        <v>311</v>
      </c>
      <c r="D87" s="61" t="s">
        <v>192</v>
      </c>
      <c r="E87" s="31">
        <f>14.5*(180*7)</f>
        <v>18270</v>
      </c>
      <c r="F87" s="33">
        <f>0.5*(180*7)</f>
        <v>630</v>
      </c>
      <c r="G87" s="147">
        <f>SUM(E87:F87)</f>
        <v>18900</v>
      </c>
      <c r="H87" s="33">
        <f>G87</f>
        <v>18900</v>
      </c>
      <c r="I87" s="33"/>
      <c r="J87" s="33">
        <f>G87*$J$4</f>
        <v>1171.8</v>
      </c>
      <c r="K87" s="33">
        <f>G87*$K$4</f>
        <v>274.05</v>
      </c>
      <c r="L87">
        <f>9000*$L$4</f>
        <v>378</v>
      </c>
      <c r="M87" s="33">
        <v>0</v>
      </c>
      <c r="N87" s="34"/>
      <c r="O87" s="33">
        <f>(G87*$O$4)</f>
        <v>945</v>
      </c>
    </row>
    <row r="88" spans="1:18" x14ac:dyDescent="0.2">
      <c r="C88" s="13" t="s">
        <v>193</v>
      </c>
      <c r="D88" s="33"/>
      <c r="E88" s="33"/>
      <c r="F88" s="33"/>
      <c r="G88" s="148"/>
      <c r="H88" s="59">
        <f>SUM(H85:H87)</f>
        <v>54180</v>
      </c>
      <c r="I88" s="33"/>
      <c r="J88" s="33"/>
      <c r="K88" s="33"/>
      <c r="N88" s="34"/>
      <c r="O88" s="34"/>
    </row>
    <row r="89" spans="1:18" x14ac:dyDescent="0.2">
      <c r="D89" s="33"/>
      <c r="E89" s="33"/>
      <c r="F89" s="33"/>
      <c r="G89" s="148"/>
      <c r="H89" s="35"/>
      <c r="I89" s="33"/>
      <c r="J89" s="33"/>
      <c r="K89" s="33"/>
      <c r="M89" s="33"/>
      <c r="N89" s="34"/>
      <c r="O89" s="33"/>
    </row>
    <row r="90" spans="1:18" ht="13.5" thickBot="1" x14ac:dyDescent="0.25">
      <c r="B90" s="13" t="s">
        <v>234</v>
      </c>
      <c r="C90" s="13"/>
      <c r="D90" s="35"/>
      <c r="E90" s="36"/>
      <c r="F90" s="36"/>
      <c r="G90" s="135"/>
      <c r="H90" s="37">
        <f>H18+H61+H78+H83+H88</f>
        <v>2354269.2356000002</v>
      </c>
      <c r="I90" s="36"/>
      <c r="J90" s="36">
        <f>SUM(J7:J88)</f>
        <v>143464.92477519996</v>
      </c>
      <c r="K90" s="36">
        <f>SUM(K7:K88)</f>
        <v>34136.903916200004</v>
      </c>
      <c r="L90" s="36">
        <f>SUM(L7:L88)</f>
        <v>18438</v>
      </c>
      <c r="M90" s="36">
        <f>SUM(M7:M88)</f>
        <v>67032</v>
      </c>
      <c r="N90" s="36">
        <f>(1698*12)*103.5%</f>
        <v>21089.16</v>
      </c>
      <c r="O90" s="36">
        <f>SUM(O7:O88)</f>
        <v>88208.980656</v>
      </c>
      <c r="P90" s="36"/>
      <c r="Q90" s="70">
        <f>SUM(H90:O90)</f>
        <v>2726639.2049474004</v>
      </c>
      <c r="R90" s="38"/>
    </row>
    <row r="91" spans="1:18" ht="16.5" thickTop="1" x14ac:dyDescent="0.25">
      <c r="A91" s="64" t="s">
        <v>235</v>
      </c>
      <c r="B91" s="13"/>
      <c r="C91" s="13"/>
      <c r="D91" s="129">
        <f>351*55</f>
        <v>19305</v>
      </c>
      <c r="E91" s="40"/>
      <c r="F91" s="40"/>
      <c r="G91" s="136"/>
      <c r="H91" s="96"/>
      <c r="I91" s="40"/>
      <c r="J91" s="40"/>
      <c r="K91" s="40"/>
      <c r="L91" s="40"/>
      <c r="M91" s="40"/>
      <c r="N91" s="40"/>
      <c r="O91" s="40"/>
      <c r="P91" s="40"/>
      <c r="Q91" s="70"/>
      <c r="R91" s="38"/>
    </row>
    <row r="92" spans="1:18" x14ac:dyDescent="0.2">
      <c r="B92" t="s">
        <v>236</v>
      </c>
      <c r="D92" s="33"/>
      <c r="E92" s="33"/>
      <c r="F92" s="150">
        <f>2100*24</f>
        <v>50400</v>
      </c>
      <c r="G92" s="148"/>
      <c r="H92" s="35" t="e">
        <f>#REF!</f>
        <v>#REF!</v>
      </c>
      <c r="I92" s="40"/>
      <c r="J92" s="40"/>
      <c r="K92" s="40"/>
      <c r="L92" s="40"/>
      <c r="M92" s="40"/>
      <c r="N92" s="40"/>
      <c r="O92" s="40"/>
      <c r="P92" s="40"/>
      <c r="Q92" s="70"/>
      <c r="R92" s="38"/>
    </row>
    <row r="93" spans="1:18" x14ac:dyDescent="0.2">
      <c r="B93" t="s">
        <v>37</v>
      </c>
      <c r="D93" s="33"/>
      <c r="E93" s="33"/>
      <c r="F93" s="33"/>
      <c r="G93" s="148"/>
      <c r="H93" s="35" t="e">
        <f>#REF!</f>
        <v>#REF!</v>
      </c>
      <c r="I93" s="40"/>
      <c r="J93" s="40"/>
      <c r="K93" s="40"/>
      <c r="L93" s="40"/>
      <c r="M93" s="40"/>
      <c r="N93" s="40"/>
      <c r="O93" s="40"/>
      <c r="P93" s="40"/>
      <c r="Q93" s="70"/>
      <c r="R93" s="38"/>
    </row>
    <row r="94" spans="1:18" x14ac:dyDescent="0.2">
      <c r="D94" s="33"/>
      <c r="E94" s="33"/>
      <c r="F94" s="33"/>
      <c r="G94" s="148"/>
      <c r="H94" s="59" t="e">
        <f>SUM(H92:H93)</f>
        <v>#REF!</v>
      </c>
      <c r="I94" s="40"/>
      <c r="J94" s="40"/>
      <c r="K94" s="40"/>
      <c r="L94" s="40"/>
      <c r="M94" s="40"/>
      <c r="N94" s="40"/>
      <c r="O94" s="40"/>
      <c r="P94" s="40"/>
      <c r="Q94" s="70"/>
      <c r="R94" s="38"/>
    </row>
    <row r="95" spans="1:18" x14ac:dyDescent="0.2">
      <c r="B95" s="13" t="s">
        <v>237</v>
      </c>
      <c r="D95" s="33"/>
      <c r="E95" s="33"/>
      <c r="F95" s="33"/>
      <c r="G95" s="148"/>
      <c r="H95" s="100" t="e">
        <f>H90+H94</f>
        <v>#REF!</v>
      </c>
      <c r="I95" s="40"/>
      <c r="J95" s="40"/>
      <c r="K95" s="40"/>
      <c r="L95" s="40"/>
      <c r="M95" s="40"/>
      <c r="N95" s="40"/>
      <c r="O95" s="40"/>
      <c r="P95" s="40"/>
      <c r="Q95" s="70"/>
      <c r="R95" s="38"/>
    </row>
    <row r="96" spans="1:18" x14ac:dyDescent="0.2">
      <c r="B96" s="13"/>
      <c r="C96" s="13"/>
      <c r="D96" s="35"/>
      <c r="E96" s="40"/>
      <c r="F96" s="40"/>
      <c r="G96" s="136"/>
      <c r="H96" s="96"/>
      <c r="I96" s="40"/>
      <c r="J96" s="40"/>
      <c r="K96" s="40"/>
      <c r="L96" s="40"/>
      <c r="M96" s="40"/>
      <c r="N96" s="40"/>
      <c r="O96" s="40"/>
      <c r="P96" s="40"/>
      <c r="Q96" s="70"/>
      <c r="R96" s="38"/>
    </row>
    <row r="97" spans="1:17" ht="15" x14ac:dyDescent="0.35">
      <c r="B97" s="39" t="s">
        <v>39</v>
      </c>
      <c r="D97" s="33"/>
      <c r="E97" s="33"/>
      <c r="F97" s="33"/>
      <c r="G97" s="148"/>
      <c r="J97" s="60" t="s">
        <v>238</v>
      </c>
      <c r="K97" s="33"/>
      <c r="L97" s="33"/>
      <c r="M97" s="33"/>
      <c r="P97" s="34"/>
      <c r="Q97" s="34"/>
    </row>
    <row r="98" spans="1:17" x14ac:dyDescent="0.2">
      <c r="C98" t="s">
        <v>208</v>
      </c>
      <c r="D98" s="94">
        <v>6.2E-2</v>
      </c>
      <c r="E98" s="33"/>
      <c r="F98" s="33"/>
      <c r="G98" s="148"/>
      <c r="H98" s="83" t="e">
        <f>J90+#REF!+#REF!</f>
        <v>#REF!</v>
      </c>
      <c r="J98" s="87" t="s">
        <v>239</v>
      </c>
      <c r="K98" s="33"/>
      <c r="L98" s="33"/>
      <c r="M98" s="33"/>
      <c r="P98" s="34"/>
      <c r="Q98" s="34"/>
    </row>
    <row r="99" spans="1:17" x14ac:dyDescent="0.2">
      <c r="C99" t="s">
        <v>240</v>
      </c>
      <c r="D99" s="94">
        <v>1.4500000000000001E-2</v>
      </c>
      <c r="E99" s="33"/>
      <c r="F99" s="33"/>
      <c r="G99" s="33"/>
      <c r="H99" s="31" t="e">
        <f>K90+#REF!</f>
        <v>#REF!</v>
      </c>
      <c r="J99" s="87" t="s">
        <v>312</v>
      </c>
      <c r="K99" s="33"/>
      <c r="L99" s="33"/>
      <c r="M99" s="33"/>
      <c r="P99" s="34"/>
      <c r="Q99" s="34"/>
    </row>
    <row r="100" spans="1:17" x14ac:dyDescent="0.2">
      <c r="C100" t="s">
        <v>241</v>
      </c>
      <c r="D100" s="94">
        <v>0</v>
      </c>
      <c r="E100" s="33"/>
      <c r="F100" s="33"/>
      <c r="G100" s="33"/>
      <c r="H100" s="31">
        <f>H90*D100</f>
        <v>0</v>
      </c>
      <c r="I100" s="126" t="s">
        <v>313</v>
      </c>
      <c r="J100" s="33" t="s">
        <v>242</v>
      </c>
      <c r="K100" s="33"/>
      <c r="L100" s="33"/>
      <c r="M100" s="33"/>
      <c r="P100" s="34"/>
      <c r="Q100" s="34"/>
    </row>
    <row r="101" spans="1:17" x14ac:dyDescent="0.2">
      <c r="C101" t="s">
        <v>210</v>
      </c>
      <c r="D101" s="94">
        <v>4.2000000000000003E-2</v>
      </c>
      <c r="E101" s="33"/>
      <c r="F101" s="33"/>
      <c r="G101" s="33"/>
      <c r="H101" s="31" t="e">
        <f>(351*5)+L90+#REF!</f>
        <v>#REF!</v>
      </c>
      <c r="J101" s="61" t="s">
        <v>314</v>
      </c>
      <c r="K101" s="33"/>
      <c r="L101" s="33"/>
      <c r="M101" s="33"/>
    </row>
    <row r="102" spans="1:17" x14ac:dyDescent="0.2">
      <c r="C102" t="s">
        <v>243</v>
      </c>
      <c r="D102" s="122">
        <v>0.6</v>
      </c>
      <c r="E102" s="33"/>
      <c r="F102" s="33"/>
      <c r="G102" s="33"/>
      <c r="H102" s="31">
        <f>'Health Insurance'!C43</f>
        <v>142668.58319999999</v>
      </c>
      <c r="J102" s="160"/>
      <c r="K102" s="160"/>
      <c r="L102" s="160"/>
      <c r="M102" s="160"/>
      <c r="N102" s="160"/>
      <c r="O102" s="160"/>
      <c r="P102" s="93"/>
      <c r="Q102" s="93"/>
    </row>
    <row r="103" spans="1:17" x14ac:dyDescent="0.2">
      <c r="C103" s="58" t="s">
        <v>244</v>
      </c>
      <c r="D103" s="33"/>
      <c r="E103" s="81"/>
      <c r="F103" s="81"/>
      <c r="G103" s="81"/>
      <c r="H103" s="31">
        <f>1900*12*103%</f>
        <v>23484</v>
      </c>
      <c r="P103" s="93"/>
      <c r="Q103" s="93"/>
    </row>
    <row r="104" spans="1:17" x14ac:dyDescent="0.2">
      <c r="C104" s="58" t="s">
        <v>245</v>
      </c>
      <c r="D104" s="94">
        <v>0.05</v>
      </c>
      <c r="E104" s="33"/>
      <c r="F104" s="33"/>
      <c r="G104" s="33"/>
      <c r="H104" s="38">
        <f>O90*70%</f>
        <v>61746.286459199997</v>
      </c>
      <c r="P104" s="93"/>
      <c r="Q104" s="93"/>
    </row>
    <row r="105" spans="1:17" x14ac:dyDescent="0.2">
      <c r="C105" s="58" t="s">
        <v>246</v>
      </c>
      <c r="D105" s="18">
        <v>5.9999999999999995E-4</v>
      </c>
      <c r="E105" s="33"/>
      <c r="F105" s="33"/>
      <c r="G105" s="33"/>
      <c r="H105" s="38" t="e">
        <f>(650*12)+#REF!</f>
        <v>#REF!</v>
      </c>
      <c r="J105" s="61"/>
      <c r="K105" s="33"/>
      <c r="L105" s="33"/>
      <c r="M105" s="33"/>
    </row>
    <row r="106" spans="1:17" x14ac:dyDescent="0.2">
      <c r="C106" t="s">
        <v>247</v>
      </c>
      <c r="D106" s="33"/>
      <c r="E106" s="33"/>
      <c r="F106" s="33"/>
      <c r="G106" s="33"/>
      <c r="H106" s="38">
        <f>(156*12)+295+(663*4)+1050</f>
        <v>5869</v>
      </c>
      <c r="I106" s="126" t="s">
        <v>315</v>
      </c>
      <c r="J106" s="61"/>
      <c r="K106" s="33"/>
      <c r="L106" s="33"/>
      <c r="M106" s="33"/>
    </row>
    <row r="107" spans="1:17" x14ac:dyDescent="0.2">
      <c r="C107" t="s">
        <v>248</v>
      </c>
      <c r="D107" s="33"/>
      <c r="E107" s="33"/>
      <c r="F107" s="33"/>
      <c r="G107" s="33"/>
      <c r="H107" s="31">
        <v>0</v>
      </c>
      <c r="I107" s="126" t="s">
        <v>316</v>
      </c>
      <c r="K107" s="95"/>
      <c r="L107" s="95"/>
      <c r="M107" s="95"/>
      <c r="N107" s="95"/>
      <c r="O107" s="95"/>
      <c r="P107" s="93"/>
      <c r="Q107" s="93"/>
    </row>
    <row r="108" spans="1:17" ht="13.5" thickBot="1" x14ac:dyDescent="0.25">
      <c r="C108" t="s">
        <v>249</v>
      </c>
      <c r="D108" s="33"/>
      <c r="E108" s="33"/>
      <c r="F108" s="33"/>
      <c r="G108" s="33"/>
      <c r="H108" s="50">
        <f>100*50</f>
        <v>5000</v>
      </c>
      <c r="I108" s="126" t="s">
        <v>317</v>
      </c>
      <c r="J108" s="61" t="s">
        <v>318</v>
      </c>
      <c r="K108" s="33"/>
      <c r="L108" s="33"/>
      <c r="M108" s="33"/>
    </row>
    <row r="109" spans="1:17" x14ac:dyDescent="0.2">
      <c r="B109" s="13" t="s">
        <v>250</v>
      </c>
      <c r="D109" s="33"/>
      <c r="E109" s="96"/>
      <c r="F109" s="96"/>
      <c r="G109" s="96"/>
      <c r="H109" s="51" t="e">
        <f>SUM(H98:H108)</f>
        <v>#REF!</v>
      </c>
      <c r="I109" s="33"/>
      <c r="J109" s="33"/>
      <c r="K109" s="33"/>
    </row>
    <row r="110" spans="1:17" ht="13.5" thickBot="1" x14ac:dyDescent="0.25">
      <c r="B110" s="13"/>
      <c r="C110" s="58" t="s">
        <v>251</v>
      </c>
      <c r="D110" s="33"/>
      <c r="E110" s="40"/>
      <c r="F110" s="40"/>
      <c r="G110" s="40"/>
      <c r="H110" s="97" t="e">
        <f>H95+H109</f>
        <v>#REF!</v>
      </c>
      <c r="I110" s="33"/>
      <c r="J110" s="33"/>
      <c r="K110" s="33"/>
    </row>
    <row r="111" spans="1:17" x14ac:dyDescent="0.2">
      <c r="B111" s="13"/>
      <c r="C111" s="58"/>
      <c r="D111" s="33"/>
      <c r="E111" s="40"/>
      <c r="F111" s="40"/>
      <c r="G111" s="40"/>
      <c r="H111" s="33"/>
      <c r="I111" s="33"/>
      <c r="J111" s="33"/>
      <c r="K111" s="33"/>
    </row>
    <row r="112" spans="1:17" ht="10.9" customHeight="1" x14ac:dyDescent="0.2">
      <c r="A112" s="39" t="s">
        <v>252</v>
      </c>
    </row>
    <row r="113" spans="1:15" ht="74.45" customHeight="1" x14ac:dyDescent="0.2">
      <c r="A113" s="158" t="s">
        <v>319</v>
      </c>
      <c r="B113" s="158"/>
      <c r="C113" s="158"/>
      <c r="D113" s="158"/>
      <c r="E113" s="158"/>
      <c r="F113" s="158"/>
      <c r="G113" s="158"/>
      <c r="H113" s="158"/>
      <c r="I113" s="158"/>
      <c r="J113" s="158"/>
      <c r="K113" s="158"/>
      <c r="L113" s="158"/>
      <c r="M113" s="158"/>
      <c r="N113" s="158"/>
      <c r="O113" s="158"/>
    </row>
    <row r="114" spans="1:15" ht="22.15" customHeight="1" x14ac:dyDescent="0.2">
      <c r="A114" s="161" t="s">
        <v>320</v>
      </c>
      <c r="B114" s="161"/>
      <c r="C114" s="161"/>
      <c r="D114" s="161"/>
      <c r="E114" s="161"/>
      <c r="F114" s="161"/>
      <c r="G114" s="161"/>
      <c r="H114" s="161"/>
      <c r="I114" s="161"/>
      <c r="J114" s="161"/>
      <c r="K114" s="161"/>
      <c r="L114" s="161"/>
      <c r="M114" s="161"/>
      <c r="N114" s="161"/>
      <c r="O114" s="161"/>
    </row>
    <row r="115" spans="1:15" ht="43.9" customHeight="1" x14ac:dyDescent="0.2">
      <c r="A115" s="162" t="s">
        <v>321</v>
      </c>
      <c r="B115" s="162"/>
      <c r="C115" s="162"/>
      <c r="D115" s="162"/>
      <c r="E115" s="162"/>
      <c r="F115" s="162"/>
      <c r="G115" s="162"/>
      <c r="H115" s="162"/>
      <c r="I115" s="162"/>
      <c r="J115" s="162"/>
      <c r="K115" s="162"/>
      <c r="L115" s="162"/>
      <c r="M115" s="162"/>
      <c r="N115" s="162"/>
      <c r="O115" s="162"/>
    </row>
    <row r="116" spans="1:15" ht="30.6" customHeight="1" x14ac:dyDescent="0.2">
      <c r="A116" s="163" t="s">
        <v>322</v>
      </c>
      <c r="B116" s="163"/>
      <c r="C116" s="163"/>
      <c r="D116" s="163"/>
      <c r="E116" s="163"/>
      <c r="F116" s="163"/>
      <c r="G116" s="163"/>
      <c r="H116" s="163"/>
      <c r="I116" s="163"/>
    </row>
    <row r="117" spans="1:15" ht="32.450000000000003" customHeight="1" x14ac:dyDescent="0.2">
      <c r="A117" s="160" t="s">
        <v>323</v>
      </c>
      <c r="B117" s="160"/>
      <c r="C117" s="160"/>
      <c r="D117" s="160"/>
      <c r="E117" s="160"/>
      <c r="F117" s="160"/>
      <c r="G117" s="160"/>
      <c r="H117" s="160"/>
      <c r="I117" s="160"/>
      <c r="J117" s="160"/>
      <c r="K117" s="160"/>
      <c r="L117" s="160"/>
      <c r="M117" s="160"/>
      <c r="N117" s="160"/>
      <c r="O117" s="160"/>
    </row>
    <row r="118" spans="1:15" ht="28.9" customHeight="1" x14ac:dyDescent="0.2">
      <c r="A118" s="159" t="s">
        <v>324</v>
      </c>
      <c r="B118" s="159"/>
      <c r="C118" s="159"/>
      <c r="D118" s="159"/>
      <c r="E118" s="159"/>
      <c r="F118" s="159"/>
      <c r="G118" s="159"/>
      <c r="H118" s="159"/>
      <c r="I118" s="159"/>
      <c r="J118" s="95"/>
      <c r="K118" s="95"/>
      <c r="L118" s="95"/>
      <c r="M118" s="95"/>
      <c r="N118" s="95"/>
      <c r="O118" s="95"/>
    </row>
    <row r="119" spans="1:15" ht="41.45" customHeight="1" x14ac:dyDescent="0.2">
      <c r="A119" s="160" t="s">
        <v>325</v>
      </c>
      <c r="B119" s="160"/>
      <c r="C119" s="160"/>
      <c r="D119" s="160"/>
      <c r="E119" s="160"/>
      <c r="F119" s="160"/>
      <c r="G119" s="160"/>
      <c r="H119" s="160"/>
      <c r="I119" s="160"/>
      <c r="J119" s="160"/>
      <c r="K119" s="160"/>
      <c r="L119" s="160"/>
      <c r="M119" s="160"/>
      <c r="N119" s="160"/>
      <c r="O119" s="160"/>
    </row>
    <row r="120" spans="1:15" ht="21" customHeight="1" x14ac:dyDescent="0.2">
      <c r="A120" s="61" t="s">
        <v>253</v>
      </c>
    </row>
    <row r="121" spans="1:15" ht="21" customHeight="1" x14ac:dyDescent="0.2">
      <c r="A121" s="95" t="s">
        <v>254</v>
      </c>
    </row>
    <row r="122" spans="1:15" ht="19.149999999999999" customHeight="1" x14ac:dyDescent="0.2"/>
  </sheetData>
  <mergeCells count="8">
    <mergeCell ref="A118:I118"/>
    <mergeCell ref="A119:O119"/>
    <mergeCell ref="J102:O102"/>
    <mergeCell ref="A113:O113"/>
    <mergeCell ref="A114:O114"/>
    <mergeCell ref="A115:O115"/>
    <mergeCell ref="A116:I116"/>
    <mergeCell ref="A117:O117"/>
  </mergeCells>
  <printOptions headings="1"/>
  <pageMargins left="0.25" right="0.25" top="0.5" bottom="0.25" header="0.5" footer="0.5"/>
  <pageSetup scale="110" orientation="landscape" r:id="rId1"/>
  <headerFooter alignWithMargins="0"/>
  <rowBreaks count="1" manualBreakCount="1">
    <brk id="96"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8"/>
  <sheetViews>
    <sheetView zoomScaleNormal="100" workbookViewId="0">
      <selection activeCell="D19" sqref="D19"/>
    </sheetView>
  </sheetViews>
  <sheetFormatPr defaultRowHeight="12.75" x14ac:dyDescent="0.2"/>
  <cols>
    <col min="1" max="1" width="32" customWidth="1"/>
    <col min="2" max="2" width="5.7109375" customWidth="1"/>
    <col min="3" max="3" width="13.42578125" customWidth="1"/>
    <col min="4" max="4" width="12" customWidth="1"/>
    <col min="5" max="5" width="44.28515625" customWidth="1"/>
  </cols>
  <sheetData>
    <row r="1" spans="1:5" ht="18" x14ac:dyDescent="0.25">
      <c r="A1" s="30" t="s">
        <v>100</v>
      </c>
    </row>
    <row r="2" spans="1:5" ht="18" x14ac:dyDescent="0.25">
      <c r="A2" s="30" t="s">
        <v>333</v>
      </c>
    </row>
    <row r="3" spans="1:5" ht="18" x14ac:dyDescent="0.25">
      <c r="A3" s="30" t="s">
        <v>334</v>
      </c>
    </row>
    <row r="4" spans="1:5" ht="18.75" x14ac:dyDescent="0.3">
      <c r="A4" s="164"/>
      <c r="B4" s="164"/>
      <c r="C4" s="164"/>
      <c r="D4" s="164"/>
      <c r="E4" s="164"/>
    </row>
    <row r="5" spans="1:5" x14ac:dyDescent="0.2">
      <c r="A5" s="6" t="s">
        <v>335</v>
      </c>
      <c r="B5" s="6" t="s">
        <v>326</v>
      </c>
      <c r="C5" s="6" t="s">
        <v>336</v>
      </c>
      <c r="D5" s="6" t="s">
        <v>337</v>
      </c>
      <c r="E5" s="6" t="s">
        <v>332</v>
      </c>
    </row>
    <row r="6" spans="1:5" ht="41.25" customHeight="1" x14ac:dyDescent="0.2">
      <c r="A6" s="71" t="s">
        <v>338</v>
      </c>
      <c r="B6" s="71">
        <v>6</v>
      </c>
      <c r="C6" s="33">
        <v>1375</v>
      </c>
      <c r="D6" s="33">
        <f>B6*C6</f>
        <v>8250</v>
      </c>
      <c r="E6" s="71" t="s">
        <v>339</v>
      </c>
    </row>
    <row r="7" spans="1:5" ht="41.25" customHeight="1" x14ac:dyDescent="0.2">
      <c r="A7" s="71" t="s">
        <v>340</v>
      </c>
      <c r="B7" s="71">
        <v>2</v>
      </c>
      <c r="C7" s="33">
        <v>600</v>
      </c>
      <c r="D7" s="33">
        <f>B7*C7</f>
        <v>1200</v>
      </c>
      <c r="E7" s="71" t="s">
        <v>341</v>
      </c>
    </row>
    <row r="8" spans="1:5" ht="28.5" customHeight="1" x14ac:dyDescent="0.2">
      <c r="A8" s="71" t="s">
        <v>342</v>
      </c>
      <c r="B8" s="71">
        <v>2</v>
      </c>
      <c r="C8" s="33">
        <v>240</v>
      </c>
      <c r="D8" s="33">
        <f>B8*C8</f>
        <v>480</v>
      </c>
      <c r="E8" s="71" t="s">
        <v>343</v>
      </c>
    </row>
    <row r="9" spans="1:5" ht="30" customHeight="1" x14ac:dyDescent="0.2">
      <c r="A9" s="71" t="s">
        <v>344</v>
      </c>
      <c r="B9" s="71">
        <v>4</v>
      </c>
      <c r="C9" s="33">
        <v>220</v>
      </c>
      <c r="D9" s="33">
        <f t="shared" ref="D9:D14" si="0">B9*C9</f>
        <v>880</v>
      </c>
      <c r="E9" s="71" t="s">
        <v>345</v>
      </c>
    </row>
    <row r="10" spans="1:5" ht="76.5" customHeight="1" x14ac:dyDescent="0.2">
      <c r="A10" s="71" t="s">
        <v>346</v>
      </c>
      <c r="B10" s="71">
        <v>1</v>
      </c>
      <c r="C10" s="33">
        <v>2500</v>
      </c>
      <c r="D10" s="33">
        <f t="shared" si="0"/>
        <v>2500</v>
      </c>
      <c r="E10" s="71" t="s">
        <v>347</v>
      </c>
    </row>
    <row r="11" spans="1:5" ht="39" customHeight="1" x14ac:dyDescent="0.2">
      <c r="A11" s="71" t="s">
        <v>348</v>
      </c>
      <c r="B11" s="71">
        <v>1</v>
      </c>
      <c r="C11" s="33">
        <v>1500</v>
      </c>
      <c r="D11" s="33">
        <f t="shared" si="0"/>
        <v>1500</v>
      </c>
      <c r="E11" s="71"/>
    </row>
    <row r="12" spans="1:5" ht="29.25" customHeight="1" x14ac:dyDescent="0.2">
      <c r="A12" s="71" t="s">
        <v>349</v>
      </c>
      <c r="B12" s="71">
        <v>1</v>
      </c>
      <c r="C12" s="33">
        <v>10000</v>
      </c>
      <c r="D12" s="33">
        <f t="shared" si="0"/>
        <v>10000</v>
      </c>
      <c r="E12" s="71" t="s">
        <v>350</v>
      </c>
    </row>
    <row r="13" spans="1:5" ht="25.5" customHeight="1" x14ac:dyDescent="0.2">
      <c r="A13" s="71" t="s">
        <v>351</v>
      </c>
      <c r="B13" s="71">
        <v>1</v>
      </c>
      <c r="C13" s="33">
        <v>2500</v>
      </c>
      <c r="D13" s="33">
        <f t="shared" si="0"/>
        <v>2500</v>
      </c>
      <c r="E13" s="71"/>
    </row>
    <row r="14" spans="1:5" ht="38.25" customHeight="1" x14ac:dyDescent="0.2">
      <c r="A14" s="71" t="s">
        <v>352</v>
      </c>
      <c r="B14" s="71">
        <v>12</v>
      </c>
      <c r="C14" s="33">
        <v>500</v>
      </c>
      <c r="D14" s="33">
        <f t="shared" si="0"/>
        <v>6000</v>
      </c>
      <c r="E14" s="71"/>
    </row>
    <row r="15" spans="1:5" ht="23.25" customHeight="1" x14ac:dyDescent="0.2">
      <c r="A15" s="71" t="s">
        <v>353</v>
      </c>
      <c r="B15" s="71">
        <v>2</v>
      </c>
      <c r="C15" s="33">
        <v>150</v>
      </c>
      <c r="D15" s="33">
        <f>B15*C15</f>
        <v>300</v>
      </c>
      <c r="E15" s="71" t="s">
        <v>354</v>
      </c>
    </row>
    <row r="16" spans="1:5" ht="25.5" customHeight="1" thickBot="1" x14ac:dyDescent="0.25">
      <c r="A16" s="153" t="s">
        <v>355</v>
      </c>
      <c r="B16" s="152"/>
      <c r="C16" s="76">
        <f>+SUM(C6:C15)</f>
        <v>19585</v>
      </c>
      <c r="D16" s="76">
        <f>+SUM(D6:D15)</f>
        <v>33610</v>
      </c>
      <c r="E16" s="71"/>
    </row>
    <row r="17" spans="4:4" ht="13.5" thickTop="1" x14ac:dyDescent="0.2">
      <c r="D17">
        <v>27310</v>
      </c>
    </row>
    <row r="18" spans="4:4" x14ac:dyDescent="0.2">
      <c r="D18" s="67">
        <f>D16-D17</f>
        <v>6300</v>
      </c>
    </row>
  </sheetData>
  <mergeCells count="1">
    <mergeCell ref="A4:E4"/>
  </mergeCells>
  <phoneticPr fontId="14" type="noConversion"/>
  <pageMargins left="0.7" right="0.7" top="0.75" bottom="0.75" header="0.3" footer="0.3"/>
  <pageSetup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6"/>
  <sheetViews>
    <sheetView topLeftCell="A25" workbookViewId="0">
      <selection activeCell="I30" sqref="I30"/>
    </sheetView>
  </sheetViews>
  <sheetFormatPr defaultRowHeight="12.75" x14ac:dyDescent="0.2"/>
  <cols>
    <col min="1" max="1" width="3.140625" customWidth="1"/>
    <col min="9" max="9" width="13.7109375" customWidth="1"/>
  </cols>
  <sheetData>
    <row r="1" spans="1:9" ht="18" x14ac:dyDescent="0.25">
      <c r="A1" s="1" t="s">
        <v>100</v>
      </c>
      <c r="I1" s="52" t="s">
        <v>357</v>
      </c>
    </row>
    <row r="2" spans="1:9" ht="15.75" x14ac:dyDescent="0.25">
      <c r="A2" s="1" t="s">
        <v>358</v>
      </c>
    </row>
    <row r="3" spans="1:9" x14ac:dyDescent="0.2">
      <c r="A3" s="13" t="s">
        <v>359</v>
      </c>
      <c r="H3" t="s">
        <v>360</v>
      </c>
    </row>
    <row r="4" spans="1:9" x14ac:dyDescent="0.2">
      <c r="A4" s="13"/>
    </row>
    <row r="6" spans="1:9" x14ac:dyDescent="0.2">
      <c r="C6" s="6"/>
      <c r="D6" s="6" t="s">
        <v>361</v>
      </c>
      <c r="E6" s="6"/>
      <c r="F6" s="6" t="s">
        <v>362</v>
      </c>
      <c r="G6" s="6"/>
      <c r="H6" s="6" t="s">
        <v>363</v>
      </c>
      <c r="I6" s="6"/>
    </row>
    <row r="7" spans="1:9" x14ac:dyDescent="0.2">
      <c r="C7" s="6" t="s">
        <v>364</v>
      </c>
      <c r="D7" s="6" t="s">
        <v>365</v>
      </c>
      <c r="E7" s="6" t="s">
        <v>366</v>
      </c>
      <c r="F7" s="6" t="s">
        <v>367</v>
      </c>
      <c r="G7" s="6" t="s">
        <v>366</v>
      </c>
      <c r="H7" s="6" t="s">
        <v>331</v>
      </c>
      <c r="I7" s="6" t="s">
        <v>337</v>
      </c>
    </row>
    <row r="9" spans="1:9" x14ac:dyDescent="0.2">
      <c r="B9" s="13" t="s">
        <v>368</v>
      </c>
      <c r="H9" s="41"/>
    </row>
    <row r="10" spans="1:9" x14ac:dyDescent="0.2">
      <c r="B10" t="s">
        <v>369</v>
      </c>
      <c r="C10">
        <v>4</v>
      </c>
      <c r="D10">
        <v>4.5</v>
      </c>
      <c r="E10">
        <v>18</v>
      </c>
      <c r="F10">
        <v>76</v>
      </c>
      <c r="G10">
        <v>1368</v>
      </c>
      <c r="H10" s="41">
        <v>13</v>
      </c>
      <c r="I10" s="41">
        <v>17784</v>
      </c>
    </row>
    <row r="11" spans="1:9" x14ac:dyDescent="0.2">
      <c r="C11">
        <v>4</v>
      </c>
      <c r="D11">
        <v>8</v>
      </c>
      <c r="E11">
        <v>32</v>
      </c>
      <c r="F11">
        <v>8</v>
      </c>
      <c r="G11">
        <v>256</v>
      </c>
      <c r="H11" s="41">
        <v>13</v>
      </c>
      <c r="I11" s="41">
        <v>3328</v>
      </c>
    </row>
    <row r="12" spans="1:9" x14ac:dyDescent="0.2">
      <c r="B12" t="s">
        <v>370</v>
      </c>
      <c r="C12">
        <v>2</v>
      </c>
      <c r="D12">
        <v>5</v>
      </c>
      <c r="E12">
        <v>10</v>
      </c>
      <c r="F12">
        <v>76</v>
      </c>
      <c r="G12">
        <v>760</v>
      </c>
      <c r="H12" s="41">
        <v>18</v>
      </c>
      <c r="I12" s="41">
        <v>13680</v>
      </c>
    </row>
    <row r="13" spans="1:9" x14ac:dyDescent="0.2">
      <c r="C13">
        <v>2</v>
      </c>
      <c r="D13">
        <v>8</v>
      </c>
      <c r="E13">
        <v>16</v>
      </c>
      <c r="F13">
        <v>8</v>
      </c>
      <c r="G13">
        <v>128</v>
      </c>
      <c r="H13" s="41">
        <v>18</v>
      </c>
      <c r="I13" s="41">
        <v>2304</v>
      </c>
    </row>
    <row r="14" spans="1:9" x14ac:dyDescent="0.2">
      <c r="B14" t="s">
        <v>371</v>
      </c>
      <c r="C14">
        <v>1</v>
      </c>
      <c r="D14">
        <v>1</v>
      </c>
      <c r="E14">
        <v>1</v>
      </c>
      <c r="F14">
        <v>76</v>
      </c>
      <c r="G14">
        <v>76</v>
      </c>
      <c r="H14" s="41">
        <v>18</v>
      </c>
      <c r="I14" s="42">
        <v>1368</v>
      </c>
    </row>
    <row r="15" spans="1:9" x14ac:dyDescent="0.2">
      <c r="H15" s="41"/>
      <c r="I15" s="41">
        <v>38464</v>
      </c>
    </row>
    <row r="16" spans="1:9" x14ac:dyDescent="0.2">
      <c r="B16" t="s">
        <v>372</v>
      </c>
      <c r="C16">
        <v>0.10350000000000001</v>
      </c>
      <c r="D16" s="43">
        <v>0.11</v>
      </c>
      <c r="I16" s="42">
        <v>4231.04</v>
      </c>
    </row>
    <row r="17" spans="2:9" x14ac:dyDescent="0.2">
      <c r="I17" s="41">
        <v>42695.040000000001</v>
      </c>
    </row>
    <row r="18" spans="2:9" x14ac:dyDescent="0.2">
      <c r="I18" s="41"/>
    </row>
    <row r="19" spans="2:9" x14ac:dyDescent="0.2">
      <c r="B19" t="s">
        <v>328</v>
      </c>
      <c r="C19" t="s">
        <v>373</v>
      </c>
      <c r="I19" s="41">
        <v>1700</v>
      </c>
    </row>
    <row r="20" spans="2:9" x14ac:dyDescent="0.2">
      <c r="I20" s="41"/>
    </row>
    <row r="21" spans="2:9" x14ac:dyDescent="0.2">
      <c r="B21" t="s">
        <v>329</v>
      </c>
      <c r="I21" s="41">
        <v>500</v>
      </c>
    </row>
    <row r="22" spans="2:9" x14ac:dyDescent="0.2">
      <c r="I22" s="41"/>
    </row>
    <row r="23" spans="2:9" x14ac:dyDescent="0.2">
      <c r="B23" s="13" t="s">
        <v>374</v>
      </c>
      <c r="I23" s="41"/>
    </row>
    <row r="24" spans="2:9" x14ac:dyDescent="0.2">
      <c r="B24" t="s">
        <v>375</v>
      </c>
      <c r="I24" s="41">
        <v>2700</v>
      </c>
    </row>
    <row r="25" spans="2:9" x14ac:dyDescent="0.2">
      <c r="B25" t="s">
        <v>330</v>
      </c>
      <c r="I25" s="41">
        <v>1000</v>
      </c>
    </row>
    <row r="26" spans="2:9" x14ac:dyDescent="0.2">
      <c r="I26" s="41"/>
    </row>
    <row r="27" spans="2:9" x14ac:dyDescent="0.2">
      <c r="B27" t="s">
        <v>376</v>
      </c>
      <c r="I27" s="41">
        <v>1000</v>
      </c>
    </row>
    <row r="28" spans="2:9" x14ac:dyDescent="0.2">
      <c r="I28" s="41"/>
    </row>
    <row r="29" spans="2:9" x14ac:dyDescent="0.2">
      <c r="B29" t="s">
        <v>377</v>
      </c>
      <c r="I29" s="45">
        <v>49595.040000000001</v>
      </c>
    </row>
    <row r="30" spans="2:9" x14ac:dyDescent="0.2">
      <c r="B30" t="s">
        <v>378</v>
      </c>
      <c r="I30" s="41">
        <v>652.56631578947372</v>
      </c>
    </row>
    <row r="32" spans="2:9" x14ac:dyDescent="0.2">
      <c r="B32" t="s">
        <v>379</v>
      </c>
      <c r="I32">
        <v>65</v>
      </c>
    </row>
    <row r="34" spans="2:9" x14ac:dyDescent="0.2">
      <c r="B34" t="s">
        <v>380</v>
      </c>
      <c r="I34" s="41">
        <v>10.039481781376519</v>
      </c>
    </row>
    <row r="35" spans="2:9" x14ac:dyDescent="0.2">
      <c r="I35" s="46"/>
    </row>
    <row r="36" spans="2:9" x14ac:dyDescent="0.2">
      <c r="B36" t="s">
        <v>381</v>
      </c>
      <c r="H36" s="43">
        <v>0.2</v>
      </c>
      <c r="I36" s="47">
        <v>2.0078963562753041</v>
      </c>
    </row>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P99"/>
  <sheetViews>
    <sheetView workbookViewId="0">
      <selection activeCell="G14" sqref="G14"/>
    </sheetView>
  </sheetViews>
  <sheetFormatPr defaultRowHeight="12.75" x14ac:dyDescent="0.2"/>
  <cols>
    <col min="1" max="1" width="3.28515625" customWidth="1"/>
    <col min="2" max="2" width="6.42578125" customWidth="1"/>
    <col min="6" max="6" width="10" customWidth="1"/>
    <col min="7" max="7" width="15.7109375" customWidth="1"/>
    <col min="8" max="8" width="1.42578125" customWidth="1"/>
    <col min="9" max="9" width="15.5703125" customWidth="1"/>
    <col min="10" max="10" width="1.42578125" customWidth="1"/>
    <col min="11" max="11" width="15.7109375" customWidth="1"/>
    <col min="12" max="12" width="1.42578125" customWidth="1"/>
    <col min="13" max="13" width="16.85546875" customWidth="1"/>
  </cols>
  <sheetData>
    <row r="2" spans="1:16" x14ac:dyDescent="0.2">
      <c r="B2" s="165" t="s">
        <v>2</v>
      </c>
      <c r="C2" s="165"/>
      <c r="D2" s="165"/>
      <c r="E2" s="165"/>
      <c r="F2" s="151"/>
      <c r="G2" s="165" t="s">
        <v>3</v>
      </c>
      <c r="H2" s="165"/>
      <c r="I2" s="165"/>
      <c r="J2" s="165"/>
      <c r="K2" s="165"/>
    </row>
    <row r="3" spans="1:16" s="2" customFormat="1" ht="16.5" customHeight="1" x14ac:dyDescent="0.2">
      <c r="B3" s="3"/>
      <c r="G3" s="4" t="s">
        <v>4</v>
      </c>
      <c r="H3" s="5"/>
      <c r="I3" s="4" t="s">
        <v>5</v>
      </c>
      <c r="J3" s="5"/>
      <c r="K3" s="4" t="s">
        <v>6</v>
      </c>
      <c r="L3" s="5"/>
      <c r="M3" s="4" t="s">
        <v>7</v>
      </c>
      <c r="P3" s="6"/>
    </row>
    <row r="4" spans="1:16" s="2" customFormat="1" ht="43.5" customHeight="1" x14ac:dyDescent="0.2">
      <c r="B4" s="3" t="s">
        <v>8</v>
      </c>
      <c r="G4" s="7" t="s">
        <v>9</v>
      </c>
      <c r="H4" s="8"/>
      <c r="I4" s="7" t="s">
        <v>10</v>
      </c>
      <c r="J4" s="8"/>
      <c r="K4" s="7" t="s">
        <v>11</v>
      </c>
      <c r="L4" s="5"/>
      <c r="M4" s="7" t="s">
        <v>12</v>
      </c>
    </row>
    <row r="5" spans="1:16" x14ac:dyDescent="0.2">
      <c r="A5">
        <v>1</v>
      </c>
      <c r="C5" t="s">
        <v>14</v>
      </c>
      <c r="G5" s="9"/>
      <c r="H5" s="9"/>
      <c r="I5" s="10"/>
      <c r="J5" s="9"/>
      <c r="K5" s="9">
        <f>G5+I5</f>
        <v>0</v>
      </c>
      <c r="M5" s="2"/>
    </row>
    <row r="6" spans="1:16" x14ac:dyDescent="0.2">
      <c r="A6">
        <f>A5+1</f>
        <v>2</v>
      </c>
      <c r="C6" t="s">
        <v>15</v>
      </c>
      <c r="G6" s="9"/>
      <c r="H6" s="9"/>
      <c r="I6" s="10"/>
      <c r="J6" s="9"/>
      <c r="K6" s="9">
        <f t="shared" ref="K6:K15" si="0">G6+I6</f>
        <v>0</v>
      </c>
      <c r="M6" s="2"/>
    </row>
    <row r="7" spans="1:16" x14ac:dyDescent="0.2">
      <c r="A7">
        <f t="shared" ref="A7:A18" si="1">A6+1</f>
        <v>3</v>
      </c>
      <c r="C7" t="s">
        <v>383</v>
      </c>
      <c r="G7" s="9"/>
      <c r="H7" s="9"/>
      <c r="I7" s="10"/>
      <c r="J7" s="9"/>
      <c r="K7" s="9">
        <f t="shared" si="0"/>
        <v>0</v>
      </c>
      <c r="M7" s="2"/>
    </row>
    <row r="8" spans="1:16" x14ac:dyDescent="0.2">
      <c r="A8">
        <f t="shared" si="1"/>
        <v>4</v>
      </c>
      <c r="C8" t="s">
        <v>384</v>
      </c>
      <c r="G8" s="11"/>
      <c r="H8" s="9"/>
      <c r="I8" s="12"/>
      <c r="J8" s="9"/>
      <c r="K8" s="9">
        <f t="shared" si="0"/>
        <v>0</v>
      </c>
      <c r="M8" s="2"/>
    </row>
    <row r="9" spans="1:16" ht="13.5" thickBot="1" x14ac:dyDescent="0.25">
      <c r="A9">
        <f t="shared" si="1"/>
        <v>5</v>
      </c>
      <c r="D9" s="13" t="s">
        <v>19</v>
      </c>
      <c r="G9" s="14"/>
      <c r="H9" s="9"/>
      <c r="I9" s="14"/>
      <c r="J9" s="9"/>
      <c r="K9" s="14">
        <f t="shared" si="0"/>
        <v>0</v>
      </c>
      <c r="M9" s="2"/>
    </row>
    <row r="10" spans="1:16" x14ac:dyDescent="0.2">
      <c r="A10">
        <f t="shared" si="1"/>
        <v>6</v>
      </c>
      <c r="C10" t="s">
        <v>20</v>
      </c>
      <c r="G10" s="9"/>
      <c r="H10" s="9"/>
      <c r="I10" s="9"/>
      <c r="J10" s="9"/>
      <c r="K10" s="9">
        <f t="shared" si="0"/>
        <v>0</v>
      </c>
      <c r="M10" s="2"/>
    </row>
    <row r="11" spans="1:16" x14ac:dyDescent="0.2">
      <c r="A11">
        <f t="shared" si="1"/>
        <v>7</v>
      </c>
      <c r="C11" t="s">
        <v>385</v>
      </c>
      <c r="G11" s="9"/>
      <c r="H11" s="9"/>
      <c r="I11" s="9"/>
      <c r="J11" s="9"/>
      <c r="K11" s="9">
        <f t="shared" si="0"/>
        <v>0</v>
      </c>
      <c r="M11" s="2"/>
    </row>
    <row r="12" spans="1:16" x14ac:dyDescent="0.2">
      <c r="A12">
        <f t="shared" si="1"/>
        <v>8</v>
      </c>
      <c r="C12" t="s">
        <v>386</v>
      </c>
      <c r="G12" s="9"/>
      <c r="H12" s="9"/>
      <c r="I12" s="9"/>
      <c r="J12" s="9"/>
      <c r="K12" s="9">
        <f t="shared" si="0"/>
        <v>0</v>
      </c>
      <c r="M12" s="2"/>
    </row>
    <row r="13" spans="1:16" x14ac:dyDescent="0.2">
      <c r="A13">
        <f t="shared" si="1"/>
        <v>9</v>
      </c>
      <c r="C13" t="s">
        <v>387</v>
      </c>
      <c r="G13" s="9"/>
      <c r="H13" s="9"/>
      <c r="I13" s="9"/>
      <c r="J13" s="9"/>
      <c r="K13" s="9">
        <f t="shared" si="0"/>
        <v>0</v>
      </c>
      <c r="M13" s="2"/>
    </row>
    <row r="14" spans="1:16" ht="13.5" thickBot="1" x14ac:dyDescent="0.25">
      <c r="A14">
        <f t="shared" si="1"/>
        <v>10</v>
      </c>
      <c r="D14" s="13" t="s">
        <v>24</v>
      </c>
      <c r="G14" s="22"/>
      <c r="I14" s="22"/>
      <c r="K14" s="14">
        <f t="shared" si="0"/>
        <v>0</v>
      </c>
      <c r="M14" s="2"/>
    </row>
    <row r="15" spans="1:16" x14ac:dyDescent="0.2">
      <c r="A15">
        <f t="shared" si="1"/>
        <v>11</v>
      </c>
      <c r="C15" t="s">
        <v>25</v>
      </c>
      <c r="D15" s="13"/>
      <c r="G15" s="2"/>
      <c r="K15" s="9">
        <f t="shared" si="0"/>
        <v>0</v>
      </c>
      <c r="M15" s="2"/>
    </row>
    <row r="16" spans="1:16" x14ac:dyDescent="0.2">
      <c r="A16">
        <f t="shared" si="1"/>
        <v>12</v>
      </c>
      <c r="D16" s="13"/>
      <c r="M16" s="2"/>
    </row>
    <row r="17" spans="1:13" ht="13.5" thickBot="1" x14ac:dyDescent="0.25">
      <c r="A17">
        <f t="shared" si="1"/>
        <v>13</v>
      </c>
      <c r="D17" s="13"/>
      <c r="M17" s="2"/>
    </row>
    <row r="18" spans="1:13" ht="13.5" thickBot="1" x14ac:dyDescent="0.25">
      <c r="A18">
        <f t="shared" si="1"/>
        <v>14</v>
      </c>
      <c r="C18" s="13" t="s">
        <v>26</v>
      </c>
      <c r="G18" s="15"/>
      <c r="H18" s="16"/>
      <c r="I18" s="15"/>
      <c r="J18" s="16"/>
      <c r="K18" s="2"/>
      <c r="M18" s="2"/>
    </row>
    <row r="20" spans="1:13" s="2" customFormat="1" ht="51" customHeight="1" x14ac:dyDescent="0.2">
      <c r="B20" s="3" t="s">
        <v>27</v>
      </c>
      <c r="G20" s="7" t="s">
        <v>9</v>
      </c>
      <c r="I20" s="7" t="s">
        <v>10</v>
      </c>
      <c r="K20" s="4" t="s">
        <v>28</v>
      </c>
      <c r="M20" s="7" t="s">
        <v>12</v>
      </c>
    </row>
    <row r="21" spans="1:13" x14ac:dyDescent="0.2">
      <c r="B21" s="17" t="s">
        <v>29</v>
      </c>
    </row>
    <row r="22" spans="1:13" x14ac:dyDescent="0.2">
      <c r="A22">
        <v>15</v>
      </c>
      <c r="C22" t="s">
        <v>388</v>
      </c>
      <c r="G22" s="9"/>
      <c r="H22" s="9"/>
      <c r="I22" s="9"/>
      <c r="J22" s="9"/>
      <c r="M22" t="e">
        <f>K22/$K$9</f>
        <v>#DIV/0!</v>
      </c>
    </row>
    <row r="23" spans="1:13" x14ac:dyDescent="0.2">
      <c r="A23">
        <f>A22+1</f>
        <v>16</v>
      </c>
      <c r="C23" t="s">
        <v>32</v>
      </c>
      <c r="G23" s="9"/>
      <c r="H23" s="9"/>
      <c r="I23" s="9"/>
      <c r="J23" s="9"/>
      <c r="M23" t="e">
        <f t="shared" ref="M23:M85" si="2">K23/$K$9</f>
        <v>#DIV/0!</v>
      </c>
    </row>
    <row r="24" spans="1:13" x14ac:dyDescent="0.2">
      <c r="A24">
        <f t="shared" ref="A24:A87" si="3">A23+1</f>
        <v>17</v>
      </c>
      <c r="C24" t="s">
        <v>33</v>
      </c>
      <c r="G24" s="9"/>
      <c r="H24" s="9"/>
      <c r="I24" s="9"/>
      <c r="J24" s="9"/>
      <c r="M24" t="e">
        <f t="shared" si="2"/>
        <v>#DIV/0!</v>
      </c>
    </row>
    <row r="25" spans="1:13" x14ac:dyDescent="0.2">
      <c r="A25">
        <f t="shared" si="3"/>
        <v>18</v>
      </c>
      <c r="C25" t="s">
        <v>389</v>
      </c>
      <c r="G25" s="9"/>
      <c r="H25" s="9"/>
      <c r="I25" s="9"/>
      <c r="J25" s="9"/>
      <c r="M25" t="e">
        <f t="shared" si="2"/>
        <v>#DIV/0!</v>
      </c>
    </row>
    <row r="26" spans="1:13" x14ac:dyDescent="0.2">
      <c r="A26">
        <f t="shared" si="3"/>
        <v>19</v>
      </c>
      <c r="C26" t="s">
        <v>390</v>
      </c>
      <c r="G26" s="9"/>
      <c r="H26" s="9"/>
      <c r="I26" s="9"/>
      <c r="J26" s="9"/>
      <c r="M26" t="e">
        <f t="shared" si="2"/>
        <v>#DIV/0!</v>
      </c>
    </row>
    <row r="27" spans="1:13" x14ac:dyDescent="0.2">
      <c r="A27">
        <f t="shared" si="3"/>
        <v>20</v>
      </c>
      <c r="C27" t="s">
        <v>391</v>
      </c>
      <c r="G27" s="9"/>
      <c r="H27" s="9"/>
      <c r="I27" s="9"/>
      <c r="J27" s="9"/>
      <c r="M27" t="e">
        <f t="shared" si="2"/>
        <v>#DIV/0!</v>
      </c>
    </row>
    <row r="28" spans="1:13" x14ac:dyDescent="0.2">
      <c r="A28">
        <f t="shared" si="3"/>
        <v>21</v>
      </c>
      <c r="C28" t="s">
        <v>34</v>
      </c>
      <c r="G28" s="9"/>
      <c r="H28" s="9"/>
      <c r="I28" s="9"/>
      <c r="J28" s="9"/>
      <c r="M28" t="e">
        <f t="shared" si="2"/>
        <v>#DIV/0!</v>
      </c>
    </row>
    <row r="29" spans="1:13" x14ac:dyDescent="0.2">
      <c r="A29">
        <f t="shared" si="3"/>
        <v>22</v>
      </c>
      <c r="C29" t="s">
        <v>392</v>
      </c>
      <c r="G29" s="9"/>
      <c r="H29" s="9"/>
      <c r="I29" s="9"/>
      <c r="J29" s="9"/>
      <c r="M29" t="e">
        <f t="shared" si="2"/>
        <v>#DIV/0!</v>
      </c>
    </row>
    <row r="30" spans="1:13" x14ac:dyDescent="0.2">
      <c r="A30">
        <f t="shared" si="3"/>
        <v>23</v>
      </c>
      <c r="C30" t="s">
        <v>39</v>
      </c>
      <c r="G30" s="9"/>
      <c r="H30" s="9"/>
      <c r="I30" s="9"/>
      <c r="J30" s="9"/>
      <c r="M30" t="e">
        <f t="shared" si="2"/>
        <v>#DIV/0!</v>
      </c>
    </row>
    <row r="31" spans="1:13" x14ac:dyDescent="0.2">
      <c r="A31">
        <f t="shared" si="3"/>
        <v>24</v>
      </c>
      <c r="C31" t="s">
        <v>393</v>
      </c>
      <c r="G31" s="9"/>
      <c r="H31" s="9"/>
      <c r="I31" s="9"/>
      <c r="J31" s="9"/>
    </row>
    <row r="32" spans="1:13" x14ac:dyDescent="0.2">
      <c r="A32">
        <f t="shared" si="3"/>
        <v>25</v>
      </c>
      <c r="C32" t="s">
        <v>41</v>
      </c>
      <c r="G32" s="9"/>
      <c r="H32" s="9"/>
      <c r="I32" s="9"/>
      <c r="J32" s="9"/>
      <c r="M32" t="e">
        <f t="shared" si="2"/>
        <v>#DIV/0!</v>
      </c>
    </row>
    <row r="33" spans="1:13" x14ac:dyDescent="0.2">
      <c r="A33">
        <f t="shared" si="3"/>
        <v>26</v>
      </c>
      <c r="G33" s="19"/>
      <c r="H33" s="19"/>
      <c r="I33" s="19"/>
      <c r="J33" s="19"/>
    </row>
    <row r="34" spans="1:13" ht="13.5" thickBot="1" x14ac:dyDescent="0.25">
      <c r="A34">
        <f t="shared" si="3"/>
        <v>27</v>
      </c>
      <c r="C34" s="13" t="s">
        <v>42</v>
      </c>
      <c r="G34" s="20"/>
      <c r="H34" s="19"/>
      <c r="I34" s="20"/>
      <c r="J34" s="19"/>
      <c r="K34" s="22"/>
      <c r="M34" s="22" t="e">
        <f t="shared" si="2"/>
        <v>#DIV/0!</v>
      </c>
    </row>
    <row r="35" spans="1:13" x14ac:dyDescent="0.2">
      <c r="A35">
        <f t="shared" si="3"/>
        <v>28</v>
      </c>
      <c r="C35" s="13"/>
      <c r="G35" s="19"/>
      <c r="H35" s="19"/>
    </row>
    <row r="36" spans="1:13" x14ac:dyDescent="0.2">
      <c r="A36">
        <f t="shared" si="3"/>
        <v>29</v>
      </c>
      <c r="B36" s="17" t="s">
        <v>43</v>
      </c>
    </row>
    <row r="37" spans="1:13" x14ac:dyDescent="0.2">
      <c r="A37">
        <f t="shared" si="3"/>
        <v>30</v>
      </c>
      <c r="C37" t="s">
        <v>44</v>
      </c>
      <c r="G37" s="21"/>
      <c r="H37" s="21"/>
      <c r="I37" s="21"/>
      <c r="J37" s="21"/>
      <c r="M37" t="e">
        <f t="shared" si="2"/>
        <v>#DIV/0!</v>
      </c>
    </row>
    <row r="38" spans="1:13" x14ac:dyDescent="0.2">
      <c r="A38">
        <f t="shared" si="3"/>
        <v>31</v>
      </c>
      <c r="C38" t="s">
        <v>394</v>
      </c>
      <c r="G38" s="21"/>
      <c r="H38" s="21"/>
      <c r="I38" s="21"/>
      <c r="J38" s="21"/>
      <c r="M38" t="e">
        <f t="shared" si="2"/>
        <v>#DIV/0!</v>
      </c>
    </row>
    <row r="39" spans="1:13" x14ac:dyDescent="0.2">
      <c r="A39">
        <f t="shared" si="3"/>
        <v>32</v>
      </c>
      <c r="C39" t="s">
        <v>395</v>
      </c>
      <c r="G39" s="21"/>
      <c r="H39" s="21"/>
      <c r="I39" s="21"/>
      <c r="J39" s="21"/>
      <c r="M39" t="e">
        <f t="shared" si="2"/>
        <v>#DIV/0!</v>
      </c>
    </row>
    <row r="40" spans="1:13" x14ac:dyDescent="0.2">
      <c r="A40">
        <f t="shared" si="3"/>
        <v>33</v>
      </c>
      <c r="C40" t="s">
        <v>396</v>
      </c>
      <c r="G40" s="21"/>
      <c r="H40" s="21"/>
      <c r="I40" s="21"/>
      <c r="J40" s="21"/>
      <c r="M40" t="e">
        <f t="shared" si="2"/>
        <v>#DIV/0!</v>
      </c>
    </row>
    <row r="41" spans="1:13" x14ac:dyDescent="0.2">
      <c r="A41">
        <f t="shared" si="3"/>
        <v>34</v>
      </c>
      <c r="C41" t="s">
        <v>47</v>
      </c>
      <c r="G41" s="21"/>
      <c r="H41" s="21"/>
      <c r="I41" s="21"/>
      <c r="J41" s="21"/>
      <c r="M41" t="e">
        <f t="shared" si="2"/>
        <v>#DIV/0!</v>
      </c>
    </row>
    <row r="42" spans="1:13" x14ac:dyDescent="0.2">
      <c r="A42">
        <f t="shared" si="3"/>
        <v>35</v>
      </c>
      <c r="C42" t="s">
        <v>397</v>
      </c>
      <c r="G42" s="21"/>
      <c r="H42" s="21"/>
      <c r="I42" s="21"/>
      <c r="J42" s="21"/>
      <c r="M42" t="e">
        <f t="shared" si="2"/>
        <v>#DIV/0!</v>
      </c>
    </row>
    <row r="43" spans="1:13" x14ac:dyDescent="0.2">
      <c r="A43">
        <f t="shared" si="3"/>
        <v>36</v>
      </c>
      <c r="C43" t="s">
        <v>49</v>
      </c>
      <c r="G43" s="21"/>
      <c r="H43" s="21"/>
      <c r="I43" s="21"/>
      <c r="J43" s="21"/>
      <c r="M43" t="e">
        <f t="shared" si="2"/>
        <v>#DIV/0!</v>
      </c>
    </row>
    <row r="44" spans="1:13" x14ac:dyDescent="0.2">
      <c r="A44">
        <f t="shared" si="3"/>
        <v>37</v>
      </c>
      <c r="C44" t="s">
        <v>52</v>
      </c>
      <c r="G44" s="21"/>
      <c r="H44" s="21"/>
      <c r="I44" s="21"/>
      <c r="J44" s="21"/>
      <c r="M44" t="e">
        <f t="shared" si="2"/>
        <v>#DIV/0!</v>
      </c>
    </row>
    <row r="45" spans="1:13" x14ac:dyDescent="0.2">
      <c r="A45">
        <f t="shared" si="3"/>
        <v>38</v>
      </c>
      <c r="C45" t="s">
        <v>398</v>
      </c>
      <c r="G45" s="21"/>
      <c r="H45" s="21"/>
      <c r="I45" s="21"/>
      <c r="J45" s="21"/>
      <c r="M45" t="e">
        <f t="shared" si="2"/>
        <v>#DIV/0!</v>
      </c>
    </row>
    <row r="46" spans="1:13" x14ac:dyDescent="0.2">
      <c r="A46">
        <f t="shared" si="3"/>
        <v>39</v>
      </c>
    </row>
    <row r="47" spans="1:13" ht="13.5" thickBot="1" x14ac:dyDescent="0.25">
      <c r="A47">
        <f t="shared" si="3"/>
        <v>40</v>
      </c>
      <c r="C47" s="13" t="s">
        <v>54</v>
      </c>
      <c r="G47" s="20"/>
      <c r="H47" s="19"/>
      <c r="I47" s="20"/>
      <c r="J47" s="19"/>
      <c r="K47" s="22"/>
      <c r="M47" s="22" t="e">
        <f t="shared" si="2"/>
        <v>#DIV/0!</v>
      </c>
    </row>
    <row r="48" spans="1:13" x14ac:dyDescent="0.2">
      <c r="A48">
        <f t="shared" si="3"/>
        <v>41</v>
      </c>
      <c r="C48" s="13"/>
    </row>
    <row r="49" spans="1:13" x14ac:dyDescent="0.2">
      <c r="A49">
        <f t="shared" si="3"/>
        <v>42</v>
      </c>
      <c r="B49" s="17" t="s">
        <v>55</v>
      </c>
    </row>
    <row r="50" spans="1:13" x14ac:dyDescent="0.2">
      <c r="A50">
        <f t="shared" si="3"/>
        <v>43</v>
      </c>
      <c r="C50" t="s">
        <v>56</v>
      </c>
      <c r="G50" s="9"/>
      <c r="H50" s="9"/>
      <c r="I50" s="9"/>
      <c r="J50" s="9"/>
      <c r="M50" t="e">
        <f t="shared" si="2"/>
        <v>#DIV/0!</v>
      </c>
    </row>
    <row r="51" spans="1:13" x14ac:dyDescent="0.2">
      <c r="A51">
        <f t="shared" si="3"/>
        <v>44</v>
      </c>
      <c r="C51" t="s">
        <v>399</v>
      </c>
      <c r="G51" s="9"/>
      <c r="H51" s="9"/>
      <c r="I51" s="9"/>
      <c r="J51" s="9"/>
      <c r="M51" t="e">
        <f t="shared" si="2"/>
        <v>#DIV/0!</v>
      </c>
    </row>
    <row r="52" spans="1:13" x14ac:dyDescent="0.2">
      <c r="A52">
        <f t="shared" si="3"/>
        <v>45</v>
      </c>
      <c r="C52" t="s">
        <v>400</v>
      </c>
      <c r="G52" s="9"/>
      <c r="H52" s="9"/>
      <c r="I52" s="9"/>
      <c r="J52" s="9"/>
      <c r="M52" t="e">
        <f t="shared" si="2"/>
        <v>#DIV/0!</v>
      </c>
    </row>
    <row r="53" spans="1:13" x14ac:dyDescent="0.2">
      <c r="A53">
        <f t="shared" si="3"/>
        <v>46</v>
      </c>
      <c r="C53" t="s">
        <v>58</v>
      </c>
      <c r="G53" s="9"/>
      <c r="H53" s="9"/>
      <c r="I53" s="9"/>
      <c r="J53" s="9"/>
      <c r="M53" t="e">
        <f t="shared" si="2"/>
        <v>#DIV/0!</v>
      </c>
    </row>
    <row r="54" spans="1:13" x14ac:dyDescent="0.2">
      <c r="A54">
        <f t="shared" si="3"/>
        <v>47</v>
      </c>
      <c r="C54" t="s">
        <v>59</v>
      </c>
      <c r="G54" s="9"/>
      <c r="H54" s="9"/>
      <c r="I54" s="9"/>
      <c r="J54" s="9"/>
      <c r="M54" t="e">
        <f t="shared" si="2"/>
        <v>#DIV/0!</v>
      </c>
    </row>
    <row r="55" spans="1:13" x14ac:dyDescent="0.2">
      <c r="A55">
        <f t="shared" si="3"/>
        <v>48</v>
      </c>
      <c r="C55" t="s">
        <v>60</v>
      </c>
      <c r="G55" s="9"/>
      <c r="H55" s="9"/>
      <c r="I55" s="9"/>
      <c r="J55" s="9"/>
      <c r="M55" t="e">
        <f t="shared" si="2"/>
        <v>#DIV/0!</v>
      </c>
    </row>
    <row r="56" spans="1:13" x14ac:dyDescent="0.2">
      <c r="A56">
        <f t="shared" si="3"/>
        <v>49</v>
      </c>
      <c r="C56" t="s">
        <v>61</v>
      </c>
      <c r="G56" s="9"/>
      <c r="H56" s="9"/>
      <c r="I56" s="9"/>
      <c r="J56" s="9"/>
      <c r="M56" t="e">
        <f t="shared" si="2"/>
        <v>#DIV/0!</v>
      </c>
    </row>
    <row r="57" spans="1:13" x14ac:dyDescent="0.2">
      <c r="A57">
        <f t="shared" si="3"/>
        <v>50</v>
      </c>
      <c r="C57" t="s">
        <v>62</v>
      </c>
      <c r="G57" s="9"/>
      <c r="H57" s="9"/>
      <c r="I57" s="9"/>
      <c r="J57" s="9"/>
      <c r="M57" t="e">
        <f t="shared" si="2"/>
        <v>#DIV/0!</v>
      </c>
    </row>
    <row r="58" spans="1:13" x14ac:dyDescent="0.2">
      <c r="A58">
        <f t="shared" si="3"/>
        <v>51</v>
      </c>
      <c r="C58" t="s">
        <v>63</v>
      </c>
      <c r="G58" s="9"/>
      <c r="H58" s="9"/>
      <c r="I58" s="9"/>
      <c r="J58" s="9"/>
      <c r="M58" t="e">
        <f t="shared" si="2"/>
        <v>#DIV/0!</v>
      </c>
    </row>
    <row r="59" spans="1:13" ht="11.25" customHeight="1" x14ac:dyDescent="0.2">
      <c r="A59">
        <f t="shared" si="3"/>
        <v>52</v>
      </c>
    </row>
    <row r="60" spans="1:13" ht="13.5" thickBot="1" x14ac:dyDescent="0.25">
      <c r="A60">
        <f t="shared" si="3"/>
        <v>53</v>
      </c>
      <c r="C60" s="13" t="s">
        <v>65</v>
      </c>
      <c r="G60" s="20"/>
      <c r="H60" s="19"/>
      <c r="I60" s="20"/>
      <c r="J60" s="19"/>
      <c r="K60" s="22"/>
      <c r="M60" s="22" t="e">
        <f t="shared" si="2"/>
        <v>#DIV/0!</v>
      </c>
    </row>
    <row r="61" spans="1:13" x14ac:dyDescent="0.2">
      <c r="A61">
        <f t="shared" si="3"/>
        <v>54</v>
      </c>
    </row>
    <row r="62" spans="1:13" x14ac:dyDescent="0.2">
      <c r="A62">
        <f t="shared" si="3"/>
        <v>55</v>
      </c>
      <c r="B62" s="17" t="s">
        <v>66</v>
      </c>
    </row>
    <row r="63" spans="1:13" x14ac:dyDescent="0.2">
      <c r="A63">
        <f t="shared" si="3"/>
        <v>56</v>
      </c>
      <c r="C63" t="s">
        <v>67</v>
      </c>
      <c r="G63" s="9"/>
      <c r="H63" s="9"/>
      <c r="I63" s="9"/>
      <c r="J63" s="9"/>
      <c r="M63" t="e">
        <f t="shared" si="2"/>
        <v>#DIV/0!</v>
      </c>
    </row>
    <row r="64" spans="1:13" x14ac:dyDescent="0.2">
      <c r="A64">
        <f t="shared" si="3"/>
        <v>57</v>
      </c>
      <c r="C64" t="s">
        <v>68</v>
      </c>
      <c r="G64" s="9"/>
      <c r="H64" s="9"/>
      <c r="I64" s="9"/>
      <c r="J64" s="9"/>
      <c r="M64" t="e">
        <f t="shared" si="2"/>
        <v>#DIV/0!</v>
      </c>
    </row>
    <row r="65" spans="1:13" x14ac:dyDescent="0.2">
      <c r="A65">
        <f t="shared" si="3"/>
        <v>58</v>
      </c>
      <c r="C65" t="s">
        <v>69</v>
      </c>
      <c r="G65" s="9"/>
      <c r="H65" s="9"/>
      <c r="I65" s="9"/>
      <c r="J65" s="9"/>
      <c r="M65" t="e">
        <f t="shared" si="2"/>
        <v>#DIV/0!</v>
      </c>
    </row>
    <row r="66" spans="1:13" x14ac:dyDescent="0.2">
      <c r="A66">
        <f t="shared" si="3"/>
        <v>59</v>
      </c>
      <c r="C66" t="s">
        <v>401</v>
      </c>
      <c r="G66" s="9"/>
      <c r="H66" s="9"/>
      <c r="I66" s="9"/>
      <c r="J66" s="9"/>
      <c r="M66" t="e">
        <f t="shared" si="2"/>
        <v>#DIV/0!</v>
      </c>
    </row>
    <row r="67" spans="1:13" x14ac:dyDescent="0.2">
      <c r="A67">
        <f t="shared" si="3"/>
        <v>60</v>
      </c>
      <c r="C67" t="s">
        <v>78</v>
      </c>
      <c r="G67" s="9"/>
      <c r="H67" s="9"/>
      <c r="I67" s="9"/>
      <c r="J67" s="9"/>
      <c r="M67" t="e">
        <f t="shared" si="2"/>
        <v>#DIV/0!</v>
      </c>
    </row>
    <row r="68" spans="1:13" x14ac:dyDescent="0.2">
      <c r="A68">
        <f t="shared" si="3"/>
        <v>61</v>
      </c>
      <c r="C68" t="s">
        <v>71</v>
      </c>
      <c r="G68" s="9"/>
      <c r="H68" s="9"/>
      <c r="I68" s="9"/>
      <c r="J68" s="9"/>
      <c r="M68" t="e">
        <f t="shared" si="2"/>
        <v>#DIV/0!</v>
      </c>
    </row>
    <row r="69" spans="1:13" x14ac:dyDescent="0.2">
      <c r="A69">
        <f t="shared" si="3"/>
        <v>62</v>
      </c>
      <c r="C69" t="s">
        <v>72</v>
      </c>
      <c r="G69" s="9"/>
      <c r="H69" s="9"/>
      <c r="I69" s="9"/>
      <c r="J69" s="9"/>
      <c r="M69" t="e">
        <f t="shared" si="2"/>
        <v>#DIV/0!</v>
      </c>
    </row>
    <row r="70" spans="1:13" x14ac:dyDescent="0.2">
      <c r="A70">
        <f t="shared" si="3"/>
        <v>63</v>
      </c>
      <c r="C70" t="s">
        <v>102</v>
      </c>
      <c r="G70" s="9"/>
      <c r="H70" s="9"/>
      <c r="I70" s="9"/>
      <c r="J70" s="9"/>
      <c r="M70" t="e">
        <f t="shared" si="2"/>
        <v>#DIV/0!</v>
      </c>
    </row>
    <row r="71" spans="1:13" x14ac:dyDescent="0.2">
      <c r="A71">
        <f t="shared" si="3"/>
        <v>64</v>
      </c>
    </row>
    <row r="72" spans="1:13" ht="13.5" thickBot="1" x14ac:dyDescent="0.25">
      <c r="A72">
        <f t="shared" si="3"/>
        <v>65</v>
      </c>
      <c r="C72" s="13" t="s">
        <v>81</v>
      </c>
      <c r="G72" s="20"/>
      <c r="H72" s="19"/>
      <c r="I72" s="20"/>
      <c r="J72" s="19"/>
      <c r="K72" s="22"/>
      <c r="M72" s="22" t="e">
        <f t="shared" si="2"/>
        <v>#DIV/0!</v>
      </c>
    </row>
    <row r="73" spans="1:13" x14ac:dyDescent="0.2">
      <c r="A73">
        <f t="shared" si="3"/>
        <v>66</v>
      </c>
    </row>
    <row r="74" spans="1:13" x14ac:dyDescent="0.2">
      <c r="A74">
        <f t="shared" si="3"/>
        <v>67</v>
      </c>
      <c r="B74" s="17" t="s">
        <v>82</v>
      </c>
    </row>
    <row r="75" spans="1:13" x14ac:dyDescent="0.2">
      <c r="A75">
        <f t="shared" si="3"/>
        <v>68</v>
      </c>
      <c r="C75" t="s">
        <v>83</v>
      </c>
      <c r="G75" s="9"/>
      <c r="H75" s="9"/>
      <c r="I75" s="9"/>
      <c r="J75" s="9"/>
      <c r="M75" t="e">
        <f t="shared" si="2"/>
        <v>#DIV/0!</v>
      </c>
    </row>
    <row r="76" spans="1:13" x14ac:dyDescent="0.2">
      <c r="A76">
        <f t="shared" si="3"/>
        <v>69</v>
      </c>
      <c r="C76" t="s">
        <v>402</v>
      </c>
      <c r="G76" s="9"/>
      <c r="H76" s="9"/>
      <c r="I76" s="9"/>
      <c r="J76" s="9"/>
      <c r="M76" t="e">
        <f t="shared" si="2"/>
        <v>#DIV/0!</v>
      </c>
    </row>
    <row r="77" spans="1:13" x14ac:dyDescent="0.2">
      <c r="A77">
        <f t="shared" si="3"/>
        <v>70</v>
      </c>
      <c r="C77" t="s">
        <v>84</v>
      </c>
      <c r="G77" s="9"/>
      <c r="H77" s="9"/>
      <c r="I77" s="9"/>
      <c r="J77" s="9"/>
      <c r="M77" t="e">
        <f t="shared" si="2"/>
        <v>#DIV/0!</v>
      </c>
    </row>
    <row r="78" spans="1:13" x14ac:dyDescent="0.2">
      <c r="A78">
        <f t="shared" si="3"/>
        <v>71</v>
      </c>
      <c r="C78" t="s">
        <v>327</v>
      </c>
      <c r="G78" s="9"/>
      <c r="H78" s="9"/>
      <c r="I78" s="9"/>
      <c r="J78" s="9"/>
      <c r="M78" t="e">
        <f t="shared" si="2"/>
        <v>#DIV/0!</v>
      </c>
    </row>
    <row r="79" spans="1:13" x14ac:dyDescent="0.2">
      <c r="A79">
        <f t="shared" si="3"/>
        <v>72</v>
      </c>
      <c r="C79" t="s">
        <v>85</v>
      </c>
      <c r="G79" s="9"/>
      <c r="H79" s="9"/>
      <c r="I79" s="9"/>
      <c r="J79" s="9"/>
      <c r="M79" t="e">
        <f t="shared" si="2"/>
        <v>#DIV/0!</v>
      </c>
    </row>
    <row r="80" spans="1:13" x14ac:dyDescent="0.2">
      <c r="A80">
        <f t="shared" si="3"/>
        <v>73</v>
      </c>
      <c r="C80" t="s">
        <v>403</v>
      </c>
      <c r="G80" s="9"/>
      <c r="H80" s="9"/>
      <c r="I80" s="9"/>
      <c r="J80" s="9"/>
      <c r="M80" t="e">
        <f t="shared" si="2"/>
        <v>#DIV/0!</v>
      </c>
    </row>
    <row r="81" spans="1:13" x14ac:dyDescent="0.2">
      <c r="A81">
        <f t="shared" si="3"/>
        <v>74</v>
      </c>
      <c r="C81" t="s">
        <v>404</v>
      </c>
      <c r="G81" s="9"/>
      <c r="H81" s="9"/>
      <c r="I81" s="10"/>
      <c r="J81" s="9"/>
      <c r="M81" t="e">
        <f t="shared" si="2"/>
        <v>#DIV/0!</v>
      </c>
    </row>
    <row r="82" spans="1:13" x14ac:dyDescent="0.2">
      <c r="A82">
        <f t="shared" si="3"/>
        <v>75</v>
      </c>
    </row>
    <row r="83" spans="1:13" ht="13.5" thickBot="1" x14ac:dyDescent="0.25">
      <c r="A83">
        <f t="shared" si="3"/>
        <v>76</v>
      </c>
      <c r="C83" s="13" t="s">
        <v>94</v>
      </c>
      <c r="G83" s="20"/>
      <c r="H83" s="19"/>
      <c r="I83" s="20"/>
      <c r="J83" s="19"/>
      <c r="K83" s="22"/>
      <c r="M83" s="22" t="e">
        <f t="shared" si="2"/>
        <v>#DIV/0!</v>
      </c>
    </row>
    <row r="84" spans="1:13" ht="13.5" thickBot="1" x14ac:dyDescent="0.25">
      <c r="A84">
        <f t="shared" si="3"/>
        <v>77</v>
      </c>
    </row>
    <row r="85" spans="1:13" ht="13.5" thickBot="1" x14ac:dyDescent="0.25">
      <c r="A85">
        <f t="shared" si="3"/>
        <v>78</v>
      </c>
      <c r="C85" s="13" t="s">
        <v>95</v>
      </c>
      <c r="G85" s="15"/>
      <c r="H85" s="19"/>
      <c r="I85" s="15"/>
      <c r="J85" s="19"/>
      <c r="K85" s="23"/>
      <c r="M85" s="23" t="e">
        <f t="shared" si="2"/>
        <v>#DIV/0!</v>
      </c>
    </row>
    <row r="86" spans="1:13" x14ac:dyDescent="0.2">
      <c r="A86">
        <f t="shared" si="3"/>
        <v>79</v>
      </c>
    </row>
    <row r="87" spans="1:13" x14ac:dyDescent="0.2">
      <c r="A87">
        <f t="shared" si="3"/>
        <v>80</v>
      </c>
      <c r="B87" s="13" t="s">
        <v>405</v>
      </c>
      <c r="G87" s="24"/>
      <c r="H87" s="19"/>
      <c r="I87" s="24"/>
      <c r="J87" s="19"/>
    </row>
    <row r="88" spans="1:13" ht="6.75" customHeight="1" thickBot="1" x14ac:dyDescent="0.25">
      <c r="B88" s="13"/>
      <c r="G88" s="16"/>
      <c r="H88" s="19"/>
      <c r="I88" s="16"/>
      <c r="J88" s="19"/>
    </row>
    <row r="89" spans="1:13" ht="13.5" thickBot="1" x14ac:dyDescent="0.25">
      <c r="A89">
        <v>81</v>
      </c>
      <c r="B89" s="13"/>
      <c r="C89" t="s">
        <v>406</v>
      </c>
      <c r="G89" s="15"/>
      <c r="H89" s="19"/>
      <c r="I89" s="25"/>
      <c r="J89" s="19"/>
    </row>
    <row r="90" spans="1:13" ht="13.5" thickBot="1" x14ac:dyDescent="0.25">
      <c r="A90">
        <f>A89+1</f>
        <v>82</v>
      </c>
      <c r="B90" s="13"/>
      <c r="C90" t="s">
        <v>407</v>
      </c>
      <c r="G90" s="25"/>
      <c r="H90" s="19"/>
      <c r="I90" s="15"/>
      <c r="J90" s="19"/>
    </row>
    <row r="92" spans="1:13" s="26" customFormat="1" x14ac:dyDescent="0.2">
      <c r="B92" s="3" t="s">
        <v>408</v>
      </c>
      <c r="C92" s="2"/>
      <c r="D92" s="2"/>
      <c r="E92" s="2"/>
      <c r="F92" s="2"/>
      <c r="G92" s="2"/>
      <c r="H92" s="2"/>
      <c r="I92" s="2"/>
      <c r="J92" s="2"/>
      <c r="K92" s="2"/>
      <c r="L92" s="2"/>
    </row>
    <row r="93" spans="1:13" s="26" customFormat="1" x14ac:dyDescent="0.2">
      <c r="B93" s="27"/>
      <c r="C93" s="26" t="s">
        <v>409</v>
      </c>
      <c r="G93" s="28">
        <v>158</v>
      </c>
    </row>
    <row r="94" spans="1:13" s="26" customFormat="1" x14ac:dyDescent="0.2">
      <c r="B94" s="27"/>
      <c r="C94" s="26" t="s">
        <v>410</v>
      </c>
      <c r="G94" s="28">
        <v>12000</v>
      </c>
    </row>
    <row r="95" spans="1:13" s="26" customFormat="1" x14ac:dyDescent="0.2">
      <c r="B95" s="27"/>
      <c r="C95" s="26" t="s">
        <v>411</v>
      </c>
      <c r="G95" s="28"/>
    </row>
    <row r="96" spans="1:13" s="26" customFormat="1" x14ac:dyDescent="0.2">
      <c r="B96" s="27"/>
      <c r="C96" s="26" t="s">
        <v>412</v>
      </c>
      <c r="G96" s="28"/>
    </row>
    <row r="97" spans="2:7" x14ac:dyDescent="0.2">
      <c r="C97" s="26" t="s">
        <v>413</v>
      </c>
      <c r="G97" s="29"/>
    </row>
    <row r="99" spans="2:7" x14ac:dyDescent="0.2">
      <c r="B99" s="13" t="s">
        <v>414</v>
      </c>
    </row>
  </sheetData>
  <mergeCells count="2">
    <mergeCell ref="B2:E2"/>
    <mergeCell ref="G2:K2"/>
  </mergeCells>
  <phoneticPr fontId="0" type="noConversion"/>
  <pageMargins left="0.75" right="0.75" top="1" bottom="1" header="0.5" footer="0.5"/>
  <pageSetup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7"/>
  <sheetViews>
    <sheetView workbookViewId="0">
      <selection activeCell="J5" sqref="J5"/>
    </sheetView>
  </sheetViews>
  <sheetFormatPr defaultRowHeight="12.75" x14ac:dyDescent="0.2"/>
  <cols>
    <col min="1" max="1" width="4" customWidth="1"/>
    <col min="2" max="2" width="17" customWidth="1"/>
    <col min="5" max="5" width="10.85546875" customWidth="1"/>
    <col min="6" max="6" width="13.7109375" customWidth="1"/>
    <col min="7" max="7" width="14" customWidth="1"/>
  </cols>
  <sheetData>
    <row r="1" spans="1:9" ht="18" x14ac:dyDescent="0.25">
      <c r="A1" s="1" t="s">
        <v>100</v>
      </c>
      <c r="F1" s="52" t="s">
        <v>415</v>
      </c>
      <c r="G1" s="52"/>
    </row>
    <row r="2" spans="1:9" ht="15.75" x14ac:dyDescent="0.25">
      <c r="A2" s="1" t="s">
        <v>416</v>
      </c>
      <c r="F2" s="53" t="s">
        <v>417</v>
      </c>
      <c r="G2" s="54"/>
      <c r="H2" s="54"/>
      <c r="I2" s="54"/>
    </row>
    <row r="3" spans="1:9" x14ac:dyDescent="0.2">
      <c r="A3" s="13" t="s">
        <v>359</v>
      </c>
    </row>
    <row r="4" spans="1:9" x14ac:dyDescent="0.2">
      <c r="A4" s="13"/>
    </row>
    <row r="6" spans="1:9" x14ac:dyDescent="0.2">
      <c r="C6" s="6"/>
      <c r="D6" s="6" t="s">
        <v>362</v>
      </c>
      <c r="E6" s="6"/>
      <c r="F6" s="6" t="s">
        <v>363</v>
      </c>
      <c r="G6" s="6"/>
    </row>
    <row r="7" spans="1:9" x14ac:dyDescent="0.2">
      <c r="C7" s="6" t="s">
        <v>364</v>
      </c>
      <c r="D7" s="6" t="s">
        <v>367</v>
      </c>
      <c r="E7" s="6" t="s">
        <v>418</v>
      </c>
      <c r="F7" s="6" t="s">
        <v>331</v>
      </c>
      <c r="G7" s="6" t="s">
        <v>337</v>
      </c>
    </row>
    <row r="9" spans="1:9" x14ac:dyDescent="0.2">
      <c r="B9" s="13" t="s">
        <v>368</v>
      </c>
      <c r="F9" s="41"/>
    </row>
    <row r="10" spans="1:9" x14ac:dyDescent="0.2">
      <c r="B10" t="s">
        <v>369</v>
      </c>
      <c r="C10">
        <v>4</v>
      </c>
      <c r="D10">
        <v>12</v>
      </c>
      <c r="E10">
        <v>48</v>
      </c>
      <c r="F10" s="41">
        <v>100</v>
      </c>
      <c r="G10" s="41">
        <v>4800</v>
      </c>
    </row>
    <row r="11" spans="1:9" x14ac:dyDescent="0.2">
      <c r="B11" t="s">
        <v>370</v>
      </c>
      <c r="C11">
        <v>1</v>
      </c>
      <c r="D11">
        <v>12</v>
      </c>
      <c r="E11">
        <v>12</v>
      </c>
      <c r="F11" s="41">
        <v>150</v>
      </c>
      <c r="G11" s="41">
        <v>1800</v>
      </c>
    </row>
    <row r="12" spans="1:9" x14ac:dyDescent="0.2">
      <c r="B12" t="s">
        <v>371</v>
      </c>
      <c r="C12">
        <v>1</v>
      </c>
      <c r="D12">
        <v>12</v>
      </c>
      <c r="E12">
        <v>12</v>
      </c>
      <c r="F12" s="41">
        <v>45</v>
      </c>
      <c r="G12" s="41">
        <v>540</v>
      </c>
    </row>
    <row r="13" spans="1:9" x14ac:dyDescent="0.2">
      <c r="F13" s="41"/>
      <c r="G13" s="41"/>
    </row>
    <row r="14" spans="1:9" x14ac:dyDescent="0.2">
      <c r="B14" t="s">
        <v>369</v>
      </c>
      <c r="C14">
        <v>3</v>
      </c>
      <c r="D14">
        <v>8</v>
      </c>
      <c r="E14">
        <v>24</v>
      </c>
      <c r="F14" s="41">
        <v>100</v>
      </c>
      <c r="G14" s="41">
        <v>2400</v>
      </c>
    </row>
    <row r="15" spans="1:9" x14ac:dyDescent="0.2">
      <c r="B15" t="s">
        <v>370</v>
      </c>
      <c r="C15">
        <v>1</v>
      </c>
      <c r="D15">
        <v>8</v>
      </c>
      <c r="E15">
        <v>8</v>
      </c>
      <c r="F15" s="41">
        <v>150</v>
      </c>
      <c r="G15" s="42">
        <v>1200</v>
      </c>
    </row>
    <row r="16" spans="1:9" x14ac:dyDescent="0.2">
      <c r="F16" s="41"/>
      <c r="G16" s="41">
        <v>10740</v>
      </c>
    </row>
    <row r="17" spans="2:7" x14ac:dyDescent="0.2">
      <c r="B17" t="s">
        <v>372</v>
      </c>
      <c r="C17">
        <v>0.10350000000000001</v>
      </c>
      <c r="D17" s="43">
        <v>0.11</v>
      </c>
      <c r="G17" s="42">
        <v>1181.4000000000001</v>
      </c>
    </row>
    <row r="18" spans="2:7" x14ac:dyDescent="0.2">
      <c r="G18" s="41">
        <v>11921.4</v>
      </c>
    </row>
    <row r="19" spans="2:7" x14ac:dyDescent="0.2">
      <c r="G19" s="41"/>
    </row>
    <row r="20" spans="2:7" x14ac:dyDescent="0.2">
      <c r="B20" t="s">
        <v>328</v>
      </c>
      <c r="C20" t="s">
        <v>419</v>
      </c>
      <c r="G20" s="41">
        <v>400</v>
      </c>
    </row>
    <row r="21" spans="2:7" x14ac:dyDescent="0.2">
      <c r="G21" s="41"/>
    </row>
    <row r="22" spans="2:7" x14ac:dyDescent="0.2">
      <c r="B22" t="s">
        <v>420</v>
      </c>
      <c r="C22" t="s">
        <v>421</v>
      </c>
      <c r="G22" s="44">
        <v>800</v>
      </c>
    </row>
    <row r="23" spans="2:7" x14ac:dyDescent="0.2">
      <c r="C23" t="s">
        <v>422</v>
      </c>
      <c r="G23" s="41">
        <v>2300</v>
      </c>
    </row>
    <row r="24" spans="2:7" x14ac:dyDescent="0.2">
      <c r="B24" s="13"/>
      <c r="G24" s="41"/>
    </row>
    <row r="25" spans="2:7" x14ac:dyDescent="0.2">
      <c r="B25" t="s">
        <v>423</v>
      </c>
      <c r="C25" t="s">
        <v>424</v>
      </c>
      <c r="G25" s="41">
        <v>1600</v>
      </c>
    </row>
    <row r="26" spans="2:7" x14ac:dyDescent="0.2">
      <c r="G26" s="41"/>
    </row>
    <row r="27" spans="2:7" x14ac:dyDescent="0.2">
      <c r="B27" t="s">
        <v>425</v>
      </c>
      <c r="G27" s="41">
        <v>0</v>
      </c>
    </row>
    <row r="28" spans="2:7" x14ac:dyDescent="0.2">
      <c r="G28" s="41"/>
    </row>
    <row r="29" spans="2:7" x14ac:dyDescent="0.2">
      <c r="B29" t="s">
        <v>376</v>
      </c>
      <c r="G29" s="41">
        <v>1000</v>
      </c>
    </row>
    <row r="30" spans="2:7" x14ac:dyDescent="0.2">
      <c r="G30" s="41"/>
    </row>
    <row r="31" spans="2:7" x14ac:dyDescent="0.2">
      <c r="B31" t="s">
        <v>377</v>
      </c>
      <c r="G31" s="45">
        <v>18021.400000000001</v>
      </c>
    </row>
    <row r="32" spans="2:7" x14ac:dyDescent="0.2">
      <c r="B32" t="s">
        <v>378</v>
      </c>
      <c r="G32" s="41">
        <v>901.07</v>
      </c>
    </row>
    <row r="34" spans="2:7" x14ac:dyDescent="0.2">
      <c r="B34" t="s">
        <v>379</v>
      </c>
      <c r="G34">
        <v>65</v>
      </c>
    </row>
    <row r="36" spans="2:7" x14ac:dyDescent="0.2">
      <c r="B36" t="s">
        <v>380</v>
      </c>
      <c r="G36" s="41">
        <v>13.862615384615385</v>
      </c>
    </row>
    <row r="37" spans="2:7" x14ac:dyDescent="0.2">
      <c r="G37" s="46"/>
    </row>
  </sheetData>
  <phoneticPr fontId="0"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43"/>
  <sheetViews>
    <sheetView topLeftCell="B1" zoomScaleNormal="100" workbookViewId="0">
      <selection activeCell="A3" sqref="A3"/>
    </sheetView>
  </sheetViews>
  <sheetFormatPr defaultRowHeight="12.75" x14ac:dyDescent="0.2"/>
  <cols>
    <col min="1" max="1" width="21.140625" customWidth="1"/>
    <col min="2" max="2" width="4.7109375" bestFit="1" customWidth="1"/>
    <col min="3" max="3" width="13" customWidth="1"/>
    <col min="4" max="4" width="10" customWidth="1"/>
    <col min="5" max="5" width="11" bestFit="1" customWidth="1"/>
    <col min="6" max="6" width="7.85546875" bestFit="1" customWidth="1"/>
    <col min="7" max="7" width="9.42578125" bestFit="1" customWidth="1"/>
    <col min="8" max="8" width="11" bestFit="1" customWidth="1"/>
    <col min="9" max="9" width="14.42578125" bestFit="1" customWidth="1"/>
    <col min="11" max="11" width="9" bestFit="1" customWidth="1"/>
  </cols>
  <sheetData>
    <row r="1" spans="1:11" ht="18" x14ac:dyDescent="0.25">
      <c r="A1" s="30" t="s">
        <v>100</v>
      </c>
    </row>
    <row r="2" spans="1:11" ht="18" x14ac:dyDescent="0.25">
      <c r="A2" s="30" t="s">
        <v>426</v>
      </c>
    </row>
    <row r="3" spans="1:11" ht="18" x14ac:dyDescent="0.25">
      <c r="A3" s="30" t="s">
        <v>243</v>
      </c>
    </row>
    <row r="4" spans="1:11" ht="18" x14ac:dyDescent="0.25">
      <c r="A4" s="30"/>
    </row>
    <row r="5" spans="1:11" ht="18" x14ac:dyDescent="0.25">
      <c r="A5" s="30"/>
    </row>
    <row r="6" spans="1:11" x14ac:dyDescent="0.2">
      <c r="A6" s="58" t="s">
        <v>427</v>
      </c>
      <c r="C6" s="58"/>
      <c r="D6" s="58"/>
    </row>
    <row r="7" spans="1:11" x14ac:dyDescent="0.2">
      <c r="A7" s="58" t="s">
        <v>428</v>
      </c>
      <c r="B7" s="43">
        <v>0.65</v>
      </c>
      <c r="C7" s="58"/>
      <c r="D7" s="58"/>
    </row>
    <row r="8" spans="1:11" x14ac:dyDescent="0.2">
      <c r="A8" s="58" t="s">
        <v>429</v>
      </c>
      <c r="B8" s="43">
        <v>0.35</v>
      </c>
      <c r="C8" s="58"/>
      <c r="D8" s="58"/>
    </row>
    <row r="9" spans="1:11" x14ac:dyDescent="0.2">
      <c r="A9" s="58"/>
      <c r="C9" s="58"/>
      <c r="D9" s="58"/>
    </row>
    <row r="10" spans="1:11" x14ac:dyDescent="0.2">
      <c r="B10" s="123" t="s">
        <v>109</v>
      </c>
      <c r="C10" s="123" t="s">
        <v>430</v>
      </c>
      <c r="D10" s="138"/>
      <c r="E10" s="123" t="s">
        <v>431</v>
      </c>
      <c r="F10" s="124" t="s">
        <v>432</v>
      </c>
      <c r="G10" s="123"/>
      <c r="H10" s="123" t="s">
        <v>99</v>
      </c>
      <c r="I10" s="123" t="s">
        <v>433</v>
      </c>
    </row>
    <row r="11" spans="1:11" x14ac:dyDescent="0.2">
      <c r="B11" s="123" t="s">
        <v>434</v>
      </c>
      <c r="C11" s="123" t="s">
        <v>99</v>
      </c>
      <c r="D11" s="123" t="s">
        <v>435</v>
      </c>
      <c r="E11" s="123" t="s">
        <v>382</v>
      </c>
      <c r="F11" s="124" t="s">
        <v>436</v>
      </c>
      <c r="G11" s="123" t="s">
        <v>437</v>
      </c>
      <c r="H11" s="123" t="s">
        <v>437</v>
      </c>
      <c r="I11" s="123" t="s">
        <v>437</v>
      </c>
    </row>
    <row r="12" spans="1:11" x14ac:dyDescent="0.2">
      <c r="B12" s="123" t="s">
        <v>438</v>
      </c>
      <c r="C12" s="123" t="s">
        <v>439</v>
      </c>
      <c r="D12" s="138">
        <v>0.35</v>
      </c>
      <c r="E12" s="138">
        <v>0.65</v>
      </c>
      <c r="F12" s="125">
        <v>0.14000000000000001</v>
      </c>
      <c r="G12" s="123" t="s">
        <v>440</v>
      </c>
      <c r="H12" s="123" t="s">
        <v>440</v>
      </c>
      <c r="I12" s="123" t="s">
        <v>440</v>
      </c>
    </row>
    <row r="13" spans="1:11" x14ac:dyDescent="0.2">
      <c r="A13" s="39" t="s">
        <v>441</v>
      </c>
      <c r="B13" s="58"/>
      <c r="C13" s="103"/>
      <c r="D13" s="103"/>
      <c r="E13" s="103"/>
      <c r="F13" s="120"/>
      <c r="G13" s="103"/>
      <c r="H13" s="103"/>
      <c r="I13" s="103"/>
    </row>
    <row r="14" spans="1:11" x14ac:dyDescent="0.2">
      <c r="A14" s="58" t="s">
        <v>442</v>
      </c>
      <c r="B14" s="58">
        <v>6</v>
      </c>
      <c r="C14" s="139">
        <v>402.85</v>
      </c>
      <c r="D14" s="86">
        <f>C14*$D$12</f>
        <v>140.9975</v>
      </c>
      <c r="E14" s="86">
        <f>C14*$E$12</f>
        <v>261.85250000000002</v>
      </c>
      <c r="F14" s="86">
        <f>E14*$F$12</f>
        <v>36.659350000000003</v>
      </c>
      <c r="G14" s="86">
        <f>E14+F14</f>
        <v>298.51185000000004</v>
      </c>
      <c r="H14" s="86">
        <f>B14*G14</f>
        <v>1791.0711000000001</v>
      </c>
      <c r="I14" s="86">
        <f>H14*12</f>
        <v>21492.853200000001</v>
      </c>
      <c r="J14" s="86"/>
      <c r="K14" s="86">
        <f>D14/2</f>
        <v>70.498750000000001</v>
      </c>
    </row>
    <row r="15" spans="1:11" x14ac:dyDescent="0.2">
      <c r="A15" s="58" t="s">
        <v>443</v>
      </c>
      <c r="B15" s="58">
        <v>1</v>
      </c>
      <c r="C15" s="139">
        <v>745.26</v>
      </c>
      <c r="D15" s="86">
        <f>C15*$D$12</f>
        <v>260.84100000000001</v>
      </c>
      <c r="E15" s="86">
        <f>C15*$E$12</f>
        <v>484.41899999999998</v>
      </c>
      <c r="F15" s="86">
        <f>E15*$F$12</f>
        <v>67.818660000000008</v>
      </c>
      <c r="G15" s="86">
        <f>E15+F15</f>
        <v>552.23766000000001</v>
      </c>
      <c r="H15" s="86">
        <f>B15*G15</f>
        <v>552.23766000000001</v>
      </c>
      <c r="I15" s="86">
        <f>H15*12</f>
        <v>6626.8519200000001</v>
      </c>
      <c r="J15" s="86"/>
      <c r="K15" s="86"/>
    </row>
    <row r="16" spans="1:11" x14ac:dyDescent="0.2">
      <c r="A16" s="58" t="s">
        <v>444</v>
      </c>
      <c r="B16" s="58">
        <v>3</v>
      </c>
      <c r="C16" s="139">
        <v>564</v>
      </c>
      <c r="D16" s="86">
        <f>C16*$D$12</f>
        <v>197.39999999999998</v>
      </c>
      <c r="E16" s="86">
        <f>C16*$E$12</f>
        <v>366.6</v>
      </c>
      <c r="F16" s="86">
        <f>E16*$F$12</f>
        <v>51.324000000000005</v>
      </c>
      <c r="G16" s="86">
        <f>E16+F16</f>
        <v>417.92400000000004</v>
      </c>
      <c r="H16" s="86">
        <f>B16*G16</f>
        <v>1253.7720000000002</v>
      </c>
      <c r="I16" s="86">
        <f>H16*12</f>
        <v>15045.264000000003</v>
      </c>
      <c r="J16" s="86"/>
      <c r="K16" s="86"/>
    </row>
    <row r="17" spans="1:11" x14ac:dyDescent="0.2">
      <c r="A17" s="58" t="s">
        <v>445</v>
      </c>
      <c r="B17" s="58">
        <v>2</v>
      </c>
      <c r="C17" s="139">
        <v>701</v>
      </c>
      <c r="D17" s="86">
        <f>C17*$D$12</f>
        <v>245.35</v>
      </c>
      <c r="E17" s="86">
        <f>C17*$E$12</f>
        <v>455.65000000000003</v>
      </c>
      <c r="F17" s="86">
        <f>E17*$F$12</f>
        <v>63.791000000000011</v>
      </c>
      <c r="G17" s="86">
        <f>E17+F17</f>
        <v>519.44100000000003</v>
      </c>
      <c r="H17" s="86">
        <f>B17*G17</f>
        <v>1038.8820000000001</v>
      </c>
      <c r="I17" s="86">
        <f>H17*12</f>
        <v>12466.584000000001</v>
      </c>
      <c r="J17" s="86"/>
      <c r="K17" s="86"/>
    </row>
    <row r="18" spans="1:11" x14ac:dyDescent="0.2">
      <c r="A18" s="58" t="s">
        <v>446</v>
      </c>
      <c r="B18" s="58">
        <v>2</v>
      </c>
      <c r="C18" s="139">
        <v>1140.05</v>
      </c>
      <c r="D18" s="86">
        <f>C18*$D$12</f>
        <v>399.01749999999998</v>
      </c>
      <c r="E18" s="86">
        <f>C18*$E$12</f>
        <v>741.03250000000003</v>
      </c>
      <c r="F18" s="86">
        <f>E18*$F$12</f>
        <v>103.74455000000002</v>
      </c>
      <c r="G18" s="86">
        <f>E18+F18</f>
        <v>844.77705000000003</v>
      </c>
      <c r="H18" s="86">
        <f>B18*G18</f>
        <v>1689.5541000000001</v>
      </c>
      <c r="I18" s="86">
        <f>H18*12</f>
        <v>20274.6492</v>
      </c>
      <c r="J18" s="86"/>
      <c r="K18" s="86"/>
    </row>
    <row r="19" spans="1:11" x14ac:dyDescent="0.2">
      <c r="B19" s="13">
        <f>SUM(B14:B18)</f>
        <v>14</v>
      </c>
      <c r="C19" s="86"/>
      <c r="D19" s="86"/>
      <c r="E19" s="86"/>
      <c r="F19" s="86"/>
      <c r="G19" s="86"/>
      <c r="H19" s="140">
        <f>SUM(H14:H18)</f>
        <v>6325.5168600000006</v>
      </c>
      <c r="I19" s="140">
        <f>SUM(I14:I18)</f>
        <v>75906.202320000011</v>
      </c>
      <c r="J19" s="86"/>
      <c r="K19" s="86"/>
    </row>
    <row r="20" spans="1:11" x14ac:dyDescent="0.2">
      <c r="B20" s="13"/>
      <c r="C20" s="86"/>
      <c r="D20" s="86"/>
      <c r="E20" s="86"/>
      <c r="F20" s="86"/>
      <c r="G20" s="86"/>
      <c r="H20" s="141"/>
      <c r="I20" s="141"/>
      <c r="J20" s="86"/>
      <c r="K20" s="86"/>
    </row>
    <row r="21" spans="1:11" x14ac:dyDescent="0.2">
      <c r="A21" s="39" t="s">
        <v>447</v>
      </c>
      <c r="B21" s="58"/>
      <c r="C21" s="142"/>
      <c r="D21" s="142"/>
      <c r="E21" s="142"/>
      <c r="F21" s="143"/>
      <c r="G21" s="142"/>
      <c r="H21" s="142"/>
      <c r="I21" s="142"/>
      <c r="J21" s="86"/>
      <c r="K21" s="86"/>
    </row>
    <row r="22" spans="1:11" x14ac:dyDescent="0.2">
      <c r="A22" s="58" t="s">
        <v>442</v>
      </c>
      <c r="B22" s="58">
        <v>1</v>
      </c>
      <c r="C22" s="139">
        <v>380.4</v>
      </c>
      <c r="D22" s="86">
        <f>C22*$D$12</f>
        <v>133.13999999999999</v>
      </c>
      <c r="E22" s="86">
        <f>C22*$E$12</f>
        <v>247.26</v>
      </c>
      <c r="F22" s="86">
        <f>E22*$F$12</f>
        <v>34.616399999999999</v>
      </c>
      <c r="G22" s="86">
        <f>E22+F22</f>
        <v>281.87639999999999</v>
      </c>
      <c r="H22" s="86">
        <f>B22*G22</f>
        <v>281.87639999999999</v>
      </c>
      <c r="I22" s="86">
        <f>H22*12</f>
        <v>3382.5167999999999</v>
      </c>
      <c r="J22" s="86"/>
      <c r="K22" s="86"/>
    </row>
    <row r="23" spans="1:11" x14ac:dyDescent="0.2">
      <c r="A23" s="58" t="s">
        <v>443</v>
      </c>
      <c r="B23" s="58">
        <v>1</v>
      </c>
      <c r="C23" s="139">
        <v>703.73</v>
      </c>
      <c r="D23" s="86">
        <f>C23*$D$12</f>
        <v>246.30549999999999</v>
      </c>
      <c r="E23" s="86">
        <f>C23*$E$12</f>
        <v>457.42450000000002</v>
      </c>
      <c r="F23" s="86">
        <f>E23*$F$12</f>
        <v>64.03943000000001</v>
      </c>
      <c r="G23" s="86">
        <f>E23+F23</f>
        <v>521.46393</v>
      </c>
      <c r="H23" s="86">
        <f>B23*G23</f>
        <v>521.46393</v>
      </c>
      <c r="I23" s="86">
        <f>H23*12</f>
        <v>6257.5671600000005</v>
      </c>
      <c r="J23" s="86"/>
      <c r="K23" s="86"/>
    </row>
    <row r="24" spans="1:11" x14ac:dyDescent="0.2">
      <c r="A24" s="58" t="s">
        <v>446</v>
      </c>
      <c r="B24" s="58">
        <v>1</v>
      </c>
      <c r="C24" s="139">
        <v>1076.52</v>
      </c>
      <c r="D24" s="86">
        <f>C24*$D$12</f>
        <v>376.78199999999998</v>
      </c>
      <c r="E24" s="86">
        <f>C24*$E$12</f>
        <v>699.73800000000006</v>
      </c>
      <c r="F24" s="86">
        <f>E24*$F$12</f>
        <v>97.96332000000001</v>
      </c>
      <c r="G24" s="86">
        <f>E24+F24</f>
        <v>797.70132000000012</v>
      </c>
      <c r="H24" s="86">
        <f>B24*G24</f>
        <v>797.70132000000012</v>
      </c>
      <c r="I24" s="86">
        <f>H24*12</f>
        <v>9572.4158400000015</v>
      </c>
      <c r="J24" s="86"/>
      <c r="K24" s="86"/>
    </row>
    <row r="25" spans="1:11" x14ac:dyDescent="0.2">
      <c r="B25" s="13">
        <f>SUM(B22:B24)</f>
        <v>3</v>
      </c>
      <c r="C25" s="86"/>
      <c r="D25" s="86"/>
      <c r="E25" s="86"/>
      <c r="F25" s="86"/>
      <c r="G25" s="86"/>
      <c r="H25" s="140">
        <f>SUM(H22:H24)</f>
        <v>1601.0416500000001</v>
      </c>
      <c r="I25" s="140">
        <f>SUM(I22:I24)</f>
        <v>19212.499800000001</v>
      </c>
      <c r="J25" s="86"/>
      <c r="K25" s="86"/>
    </row>
    <row r="26" spans="1:11" x14ac:dyDescent="0.2">
      <c r="A26" s="39" t="s">
        <v>448</v>
      </c>
      <c r="B26" s="58"/>
      <c r="C26" s="139"/>
      <c r="D26" s="86"/>
      <c r="E26" s="86"/>
      <c r="F26" s="86"/>
      <c r="G26" s="86"/>
      <c r="H26" s="86"/>
      <c r="I26" s="86"/>
      <c r="J26" s="86"/>
      <c r="K26" s="86"/>
    </row>
    <row r="27" spans="1:11" x14ac:dyDescent="0.2">
      <c r="A27" s="58" t="s">
        <v>442</v>
      </c>
      <c r="B27" s="58">
        <v>7</v>
      </c>
      <c r="C27" s="86">
        <v>506.96</v>
      </c>
      <c r="D27" s="86">
        <f>C27*$D$12</f>
        <v>177.43599999999998</v>
      </c>
      <c r="E27" s="86">
        <f>C27*$E$12</f>
        <v>329.524</v>
      </c>
      <c r="F27" s="86">
        <f>E27*$F$12</f>
        <v>46.133360000000003</v>
      </c>
      <c r="G27" s="86">
        <f>E27+F27</f>
        <v>375.65735999999998</v>
      </c>
      <c r="H27" s="86">
        <f>B27*G27</f>
        <v>2629.6015199999997</v>
      </c>
      <c r="I27" s="86">
        <f>H27*12</f>
        <v>31555.218239999995</v>
      </c>
      <c r="J27" s="86"/>
      <c r="K27" s="86"/>
    </row>
    <row r="28" spans="1:11" hidden="1" x14ac:dyDescent="0.2">
      <c r="A28" s="58" t="s">
        <v>449</v>
      </c>
      <c r="B28" s="58">
        <v>0</v>
      </c>
      <c r="C28" s="86">
        <v>748</v>
      </c>
      <c r="D28" s="86">
        <f>C28*$D$12</f>
        <v>261.8</v>
      </c>
      <c r="E28" s="86">
        <f>C28*$E$12</f>
        <v>486.2</v>
      </c>
      <c r="F28" s="86">
        <f>E28*$F$12</f>
        <v>68.067999999999998</v>
      </c>
      <c r="G28" s="86">
        <f>E28+F28</f>
        <v>554.26800000000003</v>
      </c>
      <c r="H28" s="86">
        <f>B28*G28</f>
        <v>0</v>
      </c>
      <c r="I28" s="86">
        <f>H28*12</f>
        <v>0</v>
      </c>
      <c r="J28" s="86"/>
      <c r="K28" s="86"/>
    </row>
    <row r="29" spans="1:11" hidden="1" x14ac:dyDescent="0.2">
      <c r="A29" s="58" t="s">
        <v>450</v>
      </c>
      <c r="B29" s="58">
        <v>0</v>
      </c>
      <c r="C29" s="86">
        <v>929</v>
      </c>
      <c r="D29" s="86">
        <f>C29*$D$12</f>
        <v>325.14999999999998</v>
      </c>
      <c r="E29" s="86">
        <f>C29*$E$12</f>
        <v>603.85</v>
      </c>
      <c r="F29" s="86">
        <f>E29*$F$12</f>
        <v>84.539000000000016</v>
      </c>
      <c r="G29" s="86">
        <f>E29+F29</f>
        <v>688.38900000000001</v>
      </c>
      <c r="H29" s="86">
        <f>B29*G29</f>
        <v>0</v>
      </c>
      <c r="I29" s="86">
        <f>H29*12</f>
        <v>0</v>
      </c>
      <c r="J29" s="86"/>
      <c r="K29" s="86"/>
    </row>
    <row r="30" spans="1:11" x14ac:dyDescent="0.2">
      <c r="A30" s="58" t="s">
        <v>443</v>
      </c>
      <c r="B30" s="58">
        <v>1</v>
      </c>
      <c r="C30" s="86">
        <v>937.89</v>
      </c>
      <c r="D30" s="86">
        <f>C30*$D$12</f>
        <v>328.26149999999996</v>
      </c>
      <c r="E30" s="86">
        <f>C30*$E$12</f>
        <v>609.62850000000003</v>
      </c>
      <c r="F30" s="86">
        <f>E30*$F$12</f>
        <v>85.34799000000001</v>
      </c>
      <c r="G30" s="86">
        <f>E30+F30</f>
        <v>694.97649000000001</v>
      </c>
      <c r="H30" s="86">
        <f>B30*G30</f>
        <v>694.97649000000001</v>
      </c>
      <c r="I30" s="86">
        <f>H30*12</f>
        <v>8339.7178800000002</v>
      </c>
      <c r="J30" s="86"/>
      <c r="K30" s="86"/>
    </row>
    <row r="31" spans="1:11" x14ac:dyDescent="0.2">
      <c r="A31" s="58" t="s">
        <v>445</v>
      </c>
      <c r="B31" s="58">
        <v>1</v>
      </c>
      <c r="C31" s="86">
        <v>1166.02</v>
      </c>
      <c r="D31" s="86">
        <f>C31*$D$12</f>
        <v>408.10699999999997</v>
      </c>
      <c r="E31" s="86">
        <f>C31*$E$12</f>
        <v>757.91300000000001</v>
      </c>
      <c r="F31" s="86">
        <f>E31*$F$12</f>
        <v>106.10782000000002</v>
      </c>
      <c r="G31" s="86">
        <f>E31+F31</f>
        <v>864.02082000000007</v>
      </c>
      <c r="H31" s="86">
        <f>B31*G31</f>
        <v>864.02082000000007</v>
      </c>
      <c r="I31" s="86">
        <f>H31*12</f>
        <v>10368.24984</v>
      </c>
      <c r="J31" s="86"/>
      <c r="K31" s="86"/>
    </row>
    <row r="32" spans="1:11" x14ac:dyDescent="0.2">
      <c r="B32" s="13">
        <f>SUM(B27:B31)</f>
        <v>9</v>
      </c>
      <c r="C32" s="86"/>
      <c r="D32" s="86"/>
      <c r="E32" s="86"/>
      <c r="F32" s="86"/>
      <c r="G32" s="86"/>
      <c r="H32" s="140">
        <f>SUM(H27:H31)</f>
        <v>4188.5988299999999</v>
      </c>
      <c r="I32" s="140">
        <f>SUM(I27:I31)</f>
        <v>50263.185960000003</v>
      </c>
      <c r="J32" s="86"/>
      <c r="K32" s="86"/>
    </row>
    <row r="33" spans="1:11" x14ac:dyDescent="0.2">
      <c r="A33" s="58" t="s">
        <v>104</v>
      </c>
      <c r="B33" s="115">
        <f>B19+B25+B32</f>
        <v>26</v>
      </c>
      <c r="C33" s="86"/>
      <c r="D33" s="86"/>
      <c r="E33" s="86"/>
      <c r="F33" s="86"/>
      <c r="G33" s="86"/>
      <c r="H33" s="86">
        <f>H19+H32</f>
        <v>10514.115690000001</v>
      </c>
      <c r="I33" s="144">
        <f>I19+I32</f>
        <v>126169.38828000001</v>
      </c>
      <c r="J33" s="86"/>
      <c r="K33" s="86"/>
    </row>
    <row r="34" spans="1:11" x14ac:dyDescent="0.2">
      <c r="C34" s="86"/>
      <c r="D34" s="86"/>
      <c r="E34" s="86"/>
      <c r="F34" s="86"/>
      <c r="G34" s="86"/>
      <c r="H34" s="86"/>
      <c r="I34" s="86"/>
      <c r="J34" s="86"/>
      <c r="K34" s="86"/>
    </row>
    <row r="35" spans="1:11" x14ac:dyDescent="0.2">
      <c r="A35" s="58" t="s">
        <v>451</v>
      </c>
      <c r="B35">
        <v>47</v>
      </c>
      <c r="C35" s="86"/>
      <c r="D35" s="86"/>
      <c r="E35" s="86"/>
      <c r="F35" s="86"/>
      <c r="G35" s="86"/>
      <c r="H35" s="86"/>
      <c r="I35" s="86"/>
      <c r="J35" s="86"/>
      <c r="K35" s="86"/>
    </row>
    <row r="36" spans="1:11" x14ac:dyDescent="0.2">
      <c r="A36" s="58" t="s">
        <v>452</v>
      </c>
      <c r="B36">
        <f>B35-B33</f>
        <v>21</v>
      </c>
    </row>
    <row r="38" spans="1:11" x14ac:dyDescent="0.2">
      <c r="A38" s="39" t="s">
        <v>453</v>
      </c>
      <c r="C38" s="31"/>
    </row>
    <row r="39" spans="1:11" x14ac:dyDescent="0.2">
      <c r="A39" s="58" t="s">
        <v>454</v>
      </c>
      <c r="C39" s="31">
        <f>17344.6-1300</f>
        <v>16044.599999999999</v>
      </c>
    </row>
    <row r="40" spans="1:11" x14ac:dyDescent="0.2">
      <c r="A40" s="58" t="s">
        <v>356</v>
      </c>
      <c r="C40" s="31">
        <f>C39*12</f>
        <v>192535.19999999998</v>
      </c>
    </row>
    <row r="41" spans="1:11" x14ac:dyDescent="0.2">
      <c r="A41" s="58" t="s">
        <v>455</v>
      </c>
      <c r="B41" s="43">
        <v>0.14000000000000001</v>
      </c>
      <c r="C41" s="31">
        <f>C40*B41</f>
        <v>26954.928</v>
      </c>
      <c r="D41" t="s">
        <v>456</v>
      </c>
    </row>
    <row r="42" spans="1:11" x14ac:dyDescent="0.2">
      <c r="A42" s="58" t="s">
        <v>457</v>
      </c>
      <c r="C42" s="121">
        <f>C40+C41</f>
        <v>219490.12799999997</v>
      </c>
    </row>
    <row r="43" spans="1:11" x14ac:dyDescent="0.2">
      <c r="A43" s="117" t="s">
        <v>458</v>
      </c>
      <c r="B43" s="118">
        <v>0.65</v>
      </c>
      <c r="C43" s="119">
        <f>C42*B43</f>
        <v>142668.58319999999</v>
      </c>
    </row>
  </sheetData>
  <pageMargins left="0.7" right="0.7"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ECAPCS Budget 19-20</vt:lpstr>
      <vt:lpstr>Health Care</vt:lpstr>
      <vt:lpstr>Personnel (2)</vt:lpstr>
      <vt:lpstr>Technology</vt:lpstr>
      <vt:lpstr>Before After</vt:lpstr>
      <vt:lpstr>Budget Yr2</vt:lpstr>
      <vt:lpstr>Wkend Reader</vt:lpstr>
      <vt:lpstr>Health Insurance</vt:lpstr>
      <vt:lpstr>'ECAPCS Budget 19-20'!Print_Area</vt:lpstr>
      <vt:lpstr>'Health Care'!Print_Area</vt:lpstr>
      <vt:lpstr>'Personnel (2)'!Print_Area</vt:lpstr>
    </vt:vector>
  </TitlesOfParts>
  <Manager/>
  <Company>foster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Debra Foster</dc:creator>
  <cp:keywords/>
  <dc:description/>
  <cp:lastModifiedBy>Debbie</cp:lastModifiedBy>
  <cp:revision/>
  <dcterms:created xsi:type="dcterms:W3CDTF">2007-04-09T17:07:29Z</dcterms:created>
  <dcterms:modified xsi:type="dcterms:W3CDTF">2019-06-01T23:35:42Z</dcterms:modified>
  <cp:category/>
  <cp:contentStatus/>
</cp:coreProperties>
</file>