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/>
  <mc:AlternateContent xmlns:mc="http://schemas.openxmlformats.org/markup-compatibility/2006">
    <mc:Choice Requires="x15">
      <x15ac:absPath xmlns:x15ac="http://schemas.microsoft.com/office/spreadsheetml/2010/11/ac" url="D:\HU-MS\Budget\"/>
    </mc:Choice>
  </mc:AlternateContent>
  <xr:revisionPtr revIDLastSave="0" documentId="13_ncr:1_{56C8513A-5B68-4CFB-A60D-C2D36D3FEAD9}" xr6:coauthVersionLast="32" xr6:coauthVersionMax="33" xr10:uidLastSave="{00000000-0000-0000-0000-000000000000}"/>
  <bookViews>
    <workbookView xWindow="0" yWindow="0" windowWidth="19200" windowHeight="696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state="hidden" r:id="rId4"/>
    <sheet name="Statement of Financial Position" sheetId="2" state="hidden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8" i="5" l="1"/>
  <c r="V50" i="5"/>
  <c r="U50" i="5"/>
  <c r="T50" i="5"/>
  <c r="R50" i="5"/>
  <c r="Q50" i="5"/>
  <c r="P50" i="5"/>
  <c r="N50" i="5"/>
  <c r="M50" i="5"/>
  <c r="L50" i="5"/>
  <c r="I50" i="5"/>
  <c r="J50" i="5"/>
  <c r="H50" i="5"/>
  <c r="P26" i="5"/>
  <c r="R21" i="5"/>
  <c r="V25" i="5"/>
  <c r="U25" i="5"/>
  <c r="T25" i="5"/>
  <c r="R25" i="5"/>
  <c r="Q25" i="5"/>
  <c r="P25" i="5"/>
  <c r="N25" i="5"/>
  <c r="M25" i="5"/>
  <c r="L25" i="5"/>
  <c r="I25" i="5"/>
  <c r="J25" i="5"/>
  <c r="H25" i="5"/>
  <c r="N23" i="5"/>
  <c r="M23" i="5"/>
  <c r="L23" i="5"/>
  <c r="J23" i="5"/>
  <c r="I23" i="5"/>
  <c r="H23" i="5"/>
  <c r="V23" i="5"/>
  <c r="U23" i="5"/>
  <c r="T23" i="5"/>
  <c r="Q23" i="5"/>
  <c r="R23" i="5"/>
  <c r="P23" i="5"/>
  <c r="Q21" i="5"/>
  <c r="U21" i="5"/>
  <c r="V21" i="5"/>
  <c r="T21" i="5"/>
  <c r="P21" i="5"/>
  <c r="N21" i="5"/>
  <c r="M21" i="5"/>
  <c r="L21" i="5"/>
  <c r="I21" i="5"/>
  <c r="J21" i="5"/>
  <c r="H21" i="5"/>
  <c r="N24" i="5"/>
  <c r="M24" i="5"/>
  <c r="L24" i="5"/>
  <c r="J24" i="5"/>
  <c r="I24" i="5"/>
  <c r="H24" i="5"/>
  <c r="V24" i="5"/>
  <c r="U24" i="5"/>
  <c r="T24" i="5"/>
  <c r="Q24" i="5"/>
  <c r="R24" i="5"/>
  <c r="P24" i="5"/>
  <c r="V33" i="5"/>
  <c r="H33" i="5"/>
  <c r="I33" i="5"/>
  <c r="L33" i="5"/>
  <c r="U33" i="5"/>
  <c r="P33" i="5"/>
  <c r="R33" i="5"/>
  <c r="J33" i="5"/>
  <c r="N33" i="5"/>
  <c r="M33" i="5"/>
  <c r="T33" i="5"/>
  <c r="Q33" i="5"/>
  <c r="H22" i="5"/>
  <c r="P53" i="5"/>
  <c r="N53" i="5"/>
  <c r="M53" i="5"/>
  <c r="L53" i="5"/>
  <c r="I53" i="5"/>
  <c r="H53" i="5"/>
  <c r="J47" i="5"/>
  <c r="H47" i="5"/>
  <c r="M47" i="5"/>
  <c r="V47" i="5"/>
  <c r="U47" i="5"/>
  <c r="T47" i="5"/>
  <c r="R47" i="5"/>
  <c r="Q47" i="5"/>
  <c r="N47" i="5"/>
  <c r="L47" i="5"/>
  <c r="I47" i="5"/>
  <c r="P47" i="5"/>
  <c r="T41" i="5"/>
  <c r="N41" i="5"/>
  <c r="I41" i="5"/>
  <c r="J41" i="5"/>
  <c r="H41" i="5"/>
  <c r="V34" i="5"/>
  <c r="U34" i="5"/>
  <c r="T34" i="5"/>
  <c r="R34" i="5"/>
  <c r="Q34" i="5"/>
  <c r="P34" i="5"/>
  <c r="N34" i="5"/>
  <c r="M34" i="5"/>
  <c r="L34" i="5"/>
  <c r="I34" i="5"/>
  <c r="J34" i="5"/>
  <c r="H34" i="5"/>
  <c r="U32" i="5"/>
  <c r="T32" i="5"/>
  <c r="R32" i="5"/>
  <c r="Q32" i="5"/>
  <c r="P32" i="5"/>
  <c r="N32" i="5"/>
  <c r="M32" i="5"/>
  <c r="L32" i="5"/>
  <c r="J32" i="5"/>
  <c r="I32" i="5"/>
  <c r="T31" i="5"/>
  <c r="P31" i="5"/>
  <c r="L31" i="5"/>
  <c r="L30" i="5"/>
  <c r="M30" i="5"/>
  <c r="N30" i="5"/>
  <c r="V30" i="5"/>
  <c r="U30" i="5"/>
  <c r="T30" i="5"/>
  <c r="Q30" i="5"/>
  <c r="R30" i="5"/>
  <c r="P30" i="5"/>
  <c r="I30" i="5"/>
  <c r="J30" i="5"/>
  <c r="H30" i="5"/>
  <c r="V26" i="5"/>
  <c r="U26" i="5"/>
  <c r="T26" i="5"/>
  <c r="R26" i="5"/>
  <c r="Q26" i="5"/>
  <c r="N26" i="5"/>
  <c r="M26" i="5"/>
  <c r="L26" i="5"/>
  <c r="I26" i="5"/>
  <c r="J26" i="5"/>
  <c r="H26" i="5"/>
  <c r="V22" i="5"/>
  <c r="U22" i="5"/>
  <c r="T22" i="5"/>
  <c r="R22" i="5"/>
  <c r="Q22" i="5"/>
  <c r="P22" i="5"/>
  <c r="N22" i="5"/>
  <c r="M22" i="5"/>
  <c r="L22" i="5"/>
  <c r="I22" i="5"/>
  <c r="J22" i="5"/>
  <c r="V11" i="5"/>
  <c r="U11" i="5"/>
  <c r="T11" i="5"/>
  <c r="R11" i="5"/>
  <c r="Q11" i="5"/>
  <c r="P11" i="5"/>
  <c r="N11" i="5"/>
  <c r="M11" i="5"/>
  <c r="L11" i="5"/>
  <c r="J11" i="5"/>
  <c r="V14" i="5"/>
  <c r="U14" i="5"/>
  <c r="T14" i="5"/>
  <c r="R14" i="5"/>
  <c r="Q14" i="5"/>
  <c r="P14" i="5"/>
  <c r="N14" i="5"/>
  <c r="M14" i="5"/>
  <c r="L14" i="5"/>
  <c r="I14" i="5"/>
  <c r="J14" i="5"/>
  <c r="H14" i="5"/>
  <c r="U58" i="5" l="1"/>
  <c r="T58" i="5"/>
  <c r="R58" i="5"/>
  <c r="Q58" i="5"/>
  <c r="P58" i="5"/>
  <c r="N58" i="5"/>
  <c r="M58" i="5"/>
  <c r="L58" i="5"/>
  <c r="J58" i="5"/>
  <c r="I58" i="5"/>
  <c r="H58" i="5"/>
  <c r="D61" i="5"/>
  <c r="H20" i="5"/>
  <c r="I20" i="5"/>
  <c r="J20" i="5"/>
  <c r="K22" i="5"/>
  <c r="L20" i="5"/>
  <c r="M20" i="5"/>
  <c r="N20" i="5"/>
  <c r="O21" i="5"/>
  <c r="P20" i="5"/>
  <c r="Q20" i="5"/>
  <c r="R20" i="5"/>
  <c r="S21" i="5"/>
  <c r="T20" i="5"/>
  <c r="U20" i="5"/>
  <c r="V20" i="5"/>
  <c r="W21" i="5"/>
  <c r="K20" i="5"/>
  <c r="K21" i="5"/>
  <c r="O20" i="5"/>
  <c r="S20" i="5"/>
  <c r="W20" i="5"/>
  <c r="V57" i="5"/>
  <c r="U57" i="5"/>
  <c r="T57" i="5"/>
  <c r="R57" i="5"/>
  <c r="Q57" i="5"/>
  <c r="P57" i="5"/>
  <c r="N57" i="5"/>
  <c r="M57" i="5"/>
  <c r="L57" i="5"/>
  <c r="J57" i="5"/>
  <c r="I57" i="5"/>
  <c r="H57" i="5"/>
  <c r="V54" i="5"/>
  <c r="U54" i="5"/>
  <c r="T54" i="5"/>
  <c r="R54" i="5"/>
  <c r="Q54" i="5"/>
  <c r="P54" i="5"/>
  <c r="N54" i="5"/>
  <c r="M54" i="5"/>
  <c r="L54" i="5"/>
  <c r="J54" i="5"/>
  <c r="I54" i="5"/>
  <c r="H54" i="5"/>
  <c r="T53" i="5"/>
  <c r="R53" i="5"/>
  <c r="V51" i="5"/>
  <c r="U51" i="5"/>
  <c r="T51" i="5"/>
  <c r="R51" i="5"/>
  <c r="Q51" i="5"/>
  <c r="P51" i="5"/>
  <c r="N51" i="5"/>
  <c r="M51" i="5"/>
  <c r="L51" i="5"/>
  <c r="J51" i="5"/>
  <c r="I51" i="5"/>
  <c r="H51" i="5"/>
  <c r="V49" i="5"/>
  <c r="U49" i="5"/>
  <c r="T49" i="5"/>
  <c r="R49" i="5"/>
  <c r="Q49" i="5"/>
  <c r="P49" i="5"/>
  <c r="J49" i="5"/>
  <c r="I49" i="5"/>
  <c r="N49" i="5"/>
  <c r="M49" i="5"/>
  <c r="L49" i="5"/>
  <c r="H49" i="5"/>
  <c r="V43" i="5"/>
  <c r="U43" i="5"/>
  <c r="T43" i="5"/>
  <c r="R43" i="5"/>
  <c r="Q43" i="5"/>
  <c r="P43" i="5"/>
  <c r="N43" i="5"/>
  <c r="M43" i="5"/>
  <c r="L43" i="5"/>
  <c r="J43" i="5"/>
  <c r="I43" i="5"/>
  <c r="H43" i="5"/>
  <c r="V42" i="5"/>
  <c r="U42" i="5"/>
  <c r="T42" i="5"/>
  <c r="R42" i="5"/>
  <c r="Q42" i="5"/>
  <c r="P42" i="5"/>
  <c r="N42" i="5"/>
  <c r="M42" i="5"/>
  <c r="L42" i="5"/>
  <c r="J42" i="5"/>
  <c r="I42" i="5"/>
  <c r="H42" i="5"/>
  <c r="V41" i="5"/>
  <c r="R41" i="5"/>
  <c r="V38" i="5"/>
  <c r="U38" i="5"/>
  <c r="T38" i="5"/>
  <c r="R38" i="5"/>
  <c r="Q38" i="5"/>
  <c r="P38" i="5"/>
  <c r="N38" i="5"/>
  <c r="M38" i="5"/>
  <c r="L38" i="5"/>
  <c r="J38" i="5"/>
  <c r="I38" i="5"/>
  <c r="H38" i="5"/>
  <c r="Y21" i="5" l="1"/>
  <c r="Y20" i="5"/>
  <c r="Y7" i="5" l="1"/>
  <c r="H7" i="5"/>
  <c r="V15" i="5" l="1"/>
  <c r="U15" i="5"/>
  <c r="T15" i="5"/>
  <c r="R15" i="5"/>
  <c r="Q15" i="5"/>
  <c r="P15" i="5"/>
  <c r="N15" i="5"/>
  <c r="M15" i="5"/>
  <c r="L15" i="5"/>
  <c r="I15" i="5"/>
  <c r="J15" i="5"/>
  <c r="H15" i="5"/>
  <c r="R10" i="5"/>
  <c r="Q10" i="5"/>
  <c r="V10" i="5"/>
  <c r="U10" i="5"/>
  <c r="T10" i="5"/>
  <c r="P10" i="5"/>
  <c r="N10" i="5"/>
  <c r="I10" i="5"/>
  <c r="J10" i="5"/>
  <c r="H10" i="5"/>
  <c r="V9" i="5"/>
  <c r="U9" i="5"/>
  <c r="V8" i="5"/>
  <c r="U8" i="5"/>
  <c r="V7" i="5"/>
  <c r="U7" i="5"/>
  <c r="T9" i="5"/>
  <c r="T8" i="5"/>
  <c r="T7" i="5"/>
  <c r="R9" i="5"/>
  <c r="Q9" i="5"/>
  <c r="P9" i="5"/>
  <c r="R8" i="5"/>
  <c r="Q8" i="5"/>
  <c r="P8" i="5"/>
  <c r="R7" i="5"/>
  <c r="Q7" i="5"/>
  <c r="P7" i="5"/>
  <c r="N9" i="5"/>
  <c r="M9" i="5"/>
  <c r="L9" i="5"/>
  <c r="N8" i="5"/>
  <c r="M8" i="5"/>
  <c r="L8" i="5"/>
  <c r="N7" i="5"/>
  <c r="M7" i="5"/>
  <c r="L7" i="5"/>
  <c r="J9" i="5"/>
  <c r="I9" i="5"/>
  <c r="J8" i="5"/>
  <c r="I8" i="5"/>
  <c r="J7" i="5"/>
  <c r="I7" i="5"/>
  <c r="H9" i="5"/>
  <c r="H8" i="5"/>
  <c r="D21" i="5"/>
  <c r="D58" i="5"/>
  <c r="D34" i="5"/>
  <c r="D50" i="5"/>
  <c r="D47" i="5"/>
  <c r="D43" i="5"/>
  <c r="D32" i="5"/>
  <c r="D33" i="5"/>
  <c r="D30" i="5"/>
  <c r="D26" i="5"/>
  <c r="D15" i="5"/>
  <c r="D7" i="5"/>
  <c r="D11" i="5"/>
  <c r="D8" i="5"/>
  <c r="W51" i="5" l="1"/>
  <c r="W52" i="5"/>
  <c r="W53" i="5"/>
  <c r="W54" i="5"/>
  <c r="W55" i="5"/>
  <c r="W56" i="5"/>
  <c r="A1" i="2" l="1"/>
  <c r="I57" i="1"/>
  <c r="M57" i="1"/>
  <c r="W57" i="1" s="1"/>
  <c r="Q57" i="1"/>
  <c r="U57" i="1"/>
  <c r="I56" i="1"/>
  <c r="M56" i="1"/>
  <c r="Q56" i="1"/>
  <c r="U56" i="1"/>
  <c r="W56" i="1"/>
  <c r="I55" i="1"/>
  <c r="M55" i="1"/>
  <c r="Q55" i="1"/>
  <c r="W55" i="1" s="1"/>
  <c r="U55" i="1"/>
  <c r="I54" i="1"/>
  <c r="M54" i="1"/>
  <c r="W54" i="1" s="1"/>
  <c r="Q54" i="1"/>
  <c r="U54" i="1"/>
  <c r="I53" i="1"/>
  <c r="M53" i="1"/>
  <c r="W53" i="1" s="1"/>
  <c r="Q53" i="1"/>
  <c r="U53" i="1"/>
  <c r="I52" i="1"/>
  <c r="M52" i="1"/>
  <c r="Q52" i="1"/>
  <c r="U52" i="1"/>
  <c r="W52" i="1"/>
  <c r="I40" i="1"/>
  <c r="M40" i="1"/>
  <c r="Q40" i="1"/>
  <c r="W40" i="1" s="1"/>
  <c r="U40" i="1"/>
  <c r="I39" i="1"/>
  <c r="M39" i="1"/>
  <c r="W39" i="1" s="1"/>
  <c r="Q39" i="1"/>
  <c r="U39" i="1"/>
  <c r="I14" i="1"/>
  <c r="M14" i="1"/>
  <c r="W14" i="1" s="1"/>
  <c r="Q14" i="1"/>
  <c r="U14" i="1"/>
  <c r="I8" i="1"/>
  <c r="M8" i="1"/>
  <c r="Q8" i="1"/>
  <c r="U8" i="1"/>
  <c r="W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K54" i="5"/>
  <c r="K53" i="5"/>
  <c r="K52" i="5"/>
  <c r="K51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Y40" i="5" s="1"/>
  <c r="S40" i="5"/>
  <c r="W40" i="5"/>
  <c r="K39" i="5"/>
  <c r="O39" i="5"/>
  <c r="S39" i="5"/>
  <c r="W39" i="5"/>
  <c r="K14" i="5"/>
  <c r="O14" i="5"/>
  <c r="S14" i="5"/>
  <c r="W14" i="5"/>
  <c r="J42" i="2"/>
  <c r="I42" i="2"/>
  <c r="H42" i="2"/>
  <c r="G42" i="2"/>
  <c r="E42" i="2"/>
  <c r="F16" i="1"/>
  <c r="F62" i="1" s="1"/>
  <c r="F64" i="1" s="1"/>
  <c r="F70" i="1" s="1"/>
  <c r="F59" i="1"/>
  <c r="F61" i="1" s="1"/>
  <c r="F44" i="1"/>
  <c r="F35" i="1"/>
  <c r="F27" i="1"/>
  <c r="G16" i="1"/>
  <c r="G59" i="1"/>
  <c r="G61" i="1" s="1"/>
  <c r="G44" i="1"/>
  <c r="G35" i="1"/>
  <c r="G27" i="1"/>
  <c r="H16" i="1"/>
  <c r="H59" i="1"/>
  <c r="H61" i="1" s="1"/>
  <c r="H62" i="1" s="1"/>
  <c r="H64" i="1" s="1"/>
  <c r="H70" i="1" s="1"/>
  <c r="H44" i="1"/>
  <c r="H35" i="1"/>
  <c r="H27" i="1"/>
  <c r="J16" i="1"/>
  <c r="J59" i="1"/>
  <c r="J61" i="1" s="1"/>
  <c r="J62" i="1" s="1"/>
  <c r="J64" i="1" s="1"/>
  <c r="J44" i="1"/>
  <c r="J35" i="1"/>
  <c r="J27" i="1"/>
  <c r="K16" i="1"/>
  <c r="K59" i="1"/>
  <c r="K61" i="1" s="1"/>
  <c r="K62" i="1" s="1"/>
  <c r="K64" i="1" s="1"/>
  <c r="K44" i="1"/>
  <c r="K35" i="1"/>
  <c r="K27" i="1"/>
  <c r="L16" i="1"/>
  <c r="L59" i="1"/>
  <c r="L61" i="1" s="1"/>
  <c r="L44" i="1"/>
  <c r="L35" i="1"/>
  <c r="L27" i="1"/>
  <c r="N16" i="1"/>
  <c r="N59" i="1"/>
  <c r="N44" i="1"/>
  <c r="N35" i="1"/>
  <c r="N61" i="1" s="1"/>
  <c r="N62" i="1" s="1"/>
  <c r="N64" i="1" s="1"/>
  <c r="N70" i="1" s="1"/>
  <c r="N27" i="1"/>
  <c r="O16" i="1"/>
  <c r="O59" i="1"/>
  <c r="O61" i="1" s="1"/>
  <c r="O44" i="1"/>
  <c r="O35" i="1"/>
  <c r="O27" i="1"/>
  <c r="P16" i="1"/>
  <c r="P59" i="1"/>
  <c r="P61" i="1" s="1"/>
  <c r="P62" i="1" s="1"/>
  <c r="P64" i="1" s="1"/>
  <c r="P70" i="1" s="1"/>
  <c r="P44" i="1"/>
  <c r="P35" i="1"/>
  <c r="P27" i="1"/>
  <c r="R16" i="1"/>
  <c r="R59" i="1"/>
  <c r="R61" i="1" s="1"/>
  <c r="R62" i="1" s="1"/>
  <c r="R64" i="1" s="1"/>
  <c r="R70" i="1" s="1"/>
  <c r="R44" i="1"/>
  <c r="R35" i="1"/>
  <c r="R27" i="1"/>
  <c r="S16" i="1"/>
  <c r="S59" i="1"/>
  <c r="S61" i="1" s="1"/>
  <c r="S62" i="1" s="1"/>
  <c r="S64" i="1" s="1"/>
  <c r="S70" i="1" s="1"/>
  <c r="U70" i="1" s="1"/>
  <c r="S44" i="1"/>
  <c r="S35" i="1"/>
  <c r="S27" i="1"/>
  <c r="T16" i="1"/>
  <c r="T59" i="1"/>
  <c r="T44" i="1"/>
  <c r="T61" i="1" s="1"/>
  <c r="T62" i="1" s="1"/>
  <c r="T64" i="1" s="1"/>
  <c r="T35" i="1"/>
  <c r="T27" i="1"/>
  <c r="D16" i="1"/>
  <c r="D59" i="1"/>
  <c r="D61" i="1" s="1"/>
  <c r="D62" i="1" s="1"/>
  <c r="D64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/>
  <c r="H44" i="2" s="1"/>
  <c r="G34" i="2"/>
  <c r="E34" i="2"/>
  <c r="J29" i="2"/>
  <c r="I29" i="2"/>
  <c r="G29" i="2"/>
  <c r="E29" i="2"/>
  <c r="E36" i="2" s="1"/>
  <c r="E44" i="2" s="1"/>
  <c r="A1" i="4"/>
  <c r="A1" i="5"/>
  <c r="AA7" i="1"/>
  <c r="A1" i="1"/>
  <c r="D58" i="4"/>
  <c r="D42" i="4"/>
  <c r="D31" i="4"/>
  <c r="D26" i="4"/>
  <c r="D34" i="4"/>
  <c r="D24" i="4"/>
  <c r="B58" i="4"/>
  <c r="B42" i="4"/>
  <c r="B24" i="4"/>
  <c r="H5" i="5"/>
  <c r="I5" i="5"/>
  <c r="J5" i="5"/>
  <c r="K5" i="5"/>
  <c r="L5" i="5" s="1"/>
  <c r="M5" i="5" s="1"/>
  <c r="N5" i="5" s="1"/>
  <c r="O5" i="5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W58" i="5"/>
  <c r="S58" i="5"/>
  <c r="O58" i="5"/>
  <c r="K58" i="5"/>
  <c r="W57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W42" i="5"/>
  <c r="S42" i="5"/>
  <c r="O42" i="5"/>
  <c r="K42" i="5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W15" i="5"/>
  <c r="S15" i="5"/>
  <c r="O15" i="5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J36" i="2"/>
  <c r="I36" i="2"/>
  <c r="I44" i="2"/>
  <c r="G36" i="2"/>
  <c r="G44" i="2"/>
  <c r="J13" i="2"/>
  <c r="J19" i="2"/>
  <c r="I13" i="2"/>
  <c r="I19" i="2" s="1"/>
  <c r="H13" i="2"/>
  <c r="H19" i="2"/>
  <c r="G13" i="2"/>
  <c r="G19" i="2" s="1"/>
  <c r="E13" i="2"/>
  <c r="E19" i="2"/>
  <c r="B31" i="4"/>
  <c r="C31" i="4"/>
  <c r="C26" i="4"/>
  <c r="C34" i="4"/>
  <c r="B26" i="4"/>
  <c r="B34" i="4" s="1"/>
  <c r="C58" i="4"/>
  <c r="C42" i="4"/>
  <c r="J44" i="2"/>
  <c r="C24" i="4"/>
  <c r="U33" i="1"/>
  <c r="Q33" i="1"/>
  <c r="M33" i="1"/>
  <c r="I33" i="1"/>
  <c r="W33" i="1" s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W58" i="1" s="1"/>
  <c r="M51" i="1"/>
  <c r="W51" i="1" s="1"/>
  <c r="M50" i="1"/>
  <c r="M49" i="1"/>
  <c r="M48" i="1"/>
  <c r="M47" i="1"/>
  <c r="W47" i="1" s="1"/>
  <c r="I58" i="1"/>
  <c r="I51" i="1"/>
  <c r="I50" i="1"/>
  <c r="W50" i="1" s="1"/>
  <c r="I49" i="1"/>
  <c r="W49" i="1" s="1"/>
  <c r="I48" i="1"/>
  <c r="I47" i="1"/>
  <c r="U43" i="1"/>
  <c r="U42" i="1"/>
  <c r="U41" i="1"/>
  <c r="U38" i="1"/>
  <c r="Q43" i="1"/>
  <c r="Q42" i="1"/>
  <c r="Q41" i="1"/>
  <c r="Q38" i="1"/>
  <c r="M43" i="1"/>
  <c r="M42" i="1"/>
  <c r="W42" i="1" s="1"/>
  <c r="M41" i="1"/>
  <c r="M38" i="1"/>
  <c r="I38" i="1"/>
  <c r="W38" i="1" s="1"/>
  <c r="I43" i="1"/>
  <c r="W43" i="1" s="1"/>
  <c r="I42" i="1"/>
  <c r="I41" i="1"/>
  <c r="W41" i="1" s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W7" i="1" s="1"/>
  <c r="M15" i="1"/>
  <c r="M13" i="1"/>
  <c r="M12" i="1"/>
  <c r="M11" i="1"/>
  <c r="W11" i="1" s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W20" i="1" s="1"/>
  <c r="I26" i="1"/>
  <c r="I25" i="1"/>
  <c r="W25" i="1" s="1"/>
  <c r="I24" i="1"/>
  <c r="I23" i="1"/>
  <c r="W23" i="1" s="1"/>
  <c r="I22" i="1"/>
  <c r="I21" i="1"/>
  <c r="I20" i="1"/>
  <c r="I10" i="1"/>
  <c r="W10" i="1" s="1"/>
  <c r="I11" i="1"/>
  <c r="I15" i="1"/>
  <c r="I13" i="1"/>
  <c r="W13" i="1" s="1"/>
  <c r="I12" i="1"/>
  <c r="W12" i="1" s="1"/>
  <c r="I9" i="1"/>
  <c r="I7" i="1"/>
  <c r="C37" i="4"/>
  <c r="C44" i="4"/>
  <c r="C53" i="4" s="1"/>
  <c r="U35" i="1"/>
  <c r="W21" i="1"/>
  <c r="U27" i="1"/>
  <c r="U16" i="1"/>
  <c r="Q59" i="1"/>
  <c r="Q61" i="1" s="1"/>
  <c r="Q62" i="1" s="1"/>
  <c r="Q64" i="1" s="1"/>
  <c r="M35" i="1"/>
  <c r="M16" i="1"/>
  <c r="I59" i="1"/>
  <c r="I61" i="1" s="1"/>
  <c r="Q27" i="1"/>
  <c r="U59" i="1"/>
  <c r="Q16" i="1"/>
  <c r="W15" i="1"/>
  <c r="U44" i="1"/>
  <c r="Q44" i="1"/>
  <c r="I27" i="1"/>
  <c r="Q35" i="1"/>
  <c r="I16" i="1"/>
  <c r="I62" i="1" s="1"/>
  <c r="I64" i="1" s="1"/>
  <c r="I35" i="1"/>
  <c r="M59" i="1"/>
  <c r="M61" i="1" s="1"/>
  <c r="M62" i="1" s="1"/>
  <c r="M64" i="1" s="1"/>
  <c r="G62" i="1"/>
  <c r="G64" i="1" s="1"/>
  <c r="G70" i="1" s="1"/>
  <c r="L62" i="1"/>
  <c r="L64" i="1" s="1"/>
  <c r="L70" i="1" s="1"/>
  <c r="M27" i="1"/>
  <c r="M44" i="1"/>
  <c r="I44" i="1"/>
  <c r="W30" i="1"/>
  <c r="W32" i="1"/>
  <c r="W22" i="1"/>
  <c r="W31" i="1"/>
  <c r="W34" i="1"/>
  <c r="W48" i="1"/>
  <c r="W9" i="1"/>
  <c r="O62" i="1"/>
  <c r="O64" i="1" s="1"/>
  <c r="C47" i="4"/>
  <c r="C50" i="4" s="1"/>
  <c r="D70" i="1"/>
  <c r="K70" i="1"/>
  <c r="J70" i="1"/>
  <c r="M70" i="1" s="1"/>
  <c r="O70" i="1"/>
  <c r="Q70" i="1" s="1"/>
  <c r="T70" i="1"/>
  <c r="W35" i="1"/>
  <c r="W44" i="1"/>
  <c r="Y53" i="5" l="1"/>
  <c r="Y24" i="5"/>
  <c r="Y23" i="5"/>
  <c r="K35" i="5"/>
  <c r="K27" i="5"/>
  <c r="Y22" i="5"/>
  <c r="Y57" i="5"/>
  <c r="Y58" i="5"/>
  <c r="S44" i="5"/>
  <c r="X40" i="1"/>
  <c r="Y40" i="1" s="1"/>
  <c r="O44" i="5"/>
  <c r="Y43" i="5"/>
  <c r="Y39" i="5"/>
  <c r="O35" i="5"/>
  <c r="S35" i="5"/>
  <c r="Y26" i="5"/>
  <c r="X15" i="1"/>
  <c r="Y15" i="1" s="1"/>
  <c r="W16" i="1"/>
  <c r="W59" i="1"/>
  <c r="U61" i="1"/>
  <c r="U62" i="1" s="1"/>
  <c r="U64" i="1" s="1"/>
  <c r="W24" i="1"/>
  <c r="W27" i="1" s="1"/>
  <c r="W26" i="1"/>
  <c r="D37" i="4"/>
  <c r="D44" i="4"/>
  <c r="B37" i="4"/>
  <c r="B44" i="4"/>
  <c r="I70" i="1"/>
  <c r="X57" i="1"/>
  <c r="Y57" i="1" s="1"/>
  <c r="X54" i="1"/>
  <c r="Y54" i="1" s="1"/>
  <c r="Y54" i="5"/>
  <c r="X43" i="1"/>
  <c r="Y43" i="1" s="1"/>
  <c r="X21" i="1"/>
  <c r="Y21" i="1" s="1"/>
  <c r="X22" i="1"/>
  <c r="Y22" i="1" s="1"/>
  <c r="X23" i="1"/>
  <c r="Y23" i="1" s="1"/>
  <c r="X26" i="1"/>
  <c r="Y26" i="1" s="1"/>
  <c r="X48" i="1"/>
  <c r="Y48" i="1" s="1"/>
  <c r="X58" i="1"/>
  <c r="Y58" i="1" s="1"/>
  <c r="X38" i="1"/>
  <c r="Y38" i="1" s="1"/>
  <c r="U61" i="5"/>
  <c r="U62" i="5" s="1"/>
  <c r="U64" i="5" s="1"/>
  <c r="O16" i="5"/>
  <c r="X51" i="1"/>
  <c r="Y51" i="1" s="1"/>
  <c r="Y51" i="5"/>
  <c r="X55" i="1"/>
  <c r="Y55" i="1" s="1"/>
  <c r="Y55" i="5"/>
  <c r="X39" i="1"/>
  <c r="Y39" i="1" s="1"/>
  <c r="X52" i="1"/>
  <c r="Y52" i="1" s="1"/>
  <c r="Y52" i="5"/>
  <c r="X56" i="1"/>
  <c r="Y56" i="1" s="1"/>
  <c r="Y56" i="5"/>
  <c r="X24" i="1"/>
  <c r="Y24" i="1" s="1"/>
  <c r="W59" i="5"/>
  <c r="X47" i="1"/>
  <c r="Y47" i="1" s="1"/>
  <c r="Y49" i="5"/>
  <c r="Y50" i="5"/>
  <c r="Y48" i="5"/>
  <c r="S59" i="5"/>
  <c r="P61" i="5"/>
  <c r="P62" i="5" s="1"/>
  <c r="P64" i="5" s="1"/>
  <c r="O59" i="5"/>
  <c r="X53" i="1"/>
  <c r="Y53" i="1" s="1"/>
  <c r="X49" i="1"/>
  <c r="Y49" i="1" s="1"/>
  <c r="Y47" i="5"/>
  <c r="X50" i="1"/>
  <c r="Y50" i="1" s="1"/>
  <c r="K59" i="5"/>
  <c r="W44" i="5"/>
  <c r="Y42" i="5"/>
  <c r="X41" i="1"/>
  <c r="Y41" i="1" s="1"/>
  <c r="R61" i="5"/>
  <c r="R62" i="5" s="1"/>
  <c r="R64" i="5" s="1"/>
  <c r="Q61" i="5"/>
  <c r="Q62" i="5" s="1"/>
  <c r="Q64" i="5" s="1"/>
  <c r="N61" i="5"/>
  <c r="N62" i="5" s="1"/>
  <c r="N64" i="5" s="1"/>
  <c r="L61" i="5"/>
  <c r="L62" i="5" s="1"/>
  <c r="L64" i="5" s="1"/>
  <c r="I61" i="5"/>
  <c r="I62" i="5" s="1"/>
  <c r="I64" i="5" s="1"/>
  <c r="X42" i="1"/>
  <c r="Y42" i="1" s="1"/>
  <c r="Y41" i="5"/>
  <c r="Y38" i="5"/>
  <c r="K44" i="5"/>
  <c r="H61" i="5"/>
  <c r="H62" i="5" s="1"/>
  <c r="H64" i="5" s="1"/>
  <c r="V61" i="5"/>
  <c r="V62" i="5" s="1"/>
  <c r="V64" i="5" s="1"/>
  <c r="X33" i="1"/>
  <c r="Y33" i="1" s="1"/>
  <c r="W35" i="5"/>
  <c r="X30" i="1"/>
  <c r="Y30" i="1" s="1"/>
  <c r="Y34" i="5"/>
  <c r="Y32" i="5"/>
  <c r="Y31" i="5"/>
  <c r="Y33" i="5"/>
  <c r="M61" i="5"/>
  <c r="M62" i="5" s="1"/>
  <c r="M64" i="5" s="1"/>
  <c r="J61" i="5"/>
  <c r="J62" i="5" s="1"/>
  <c r="J64" i="5" s="1"/>
  <c r="X31" i="1"/>
  <c r="Y31" i="1" s="1"/>
  <c r="Y30" i="5"/>
  <c r="X32" i="1"/>
  <c r="Y32" i="1" s="1"/>
  <c r="X34" i="1"/>
  <c r="Y34" i="1" s="1"/>
  <c r="X25" i="1"/>
  <c r="Y25" i="1" s="1"/>
  <c r="X20" i="1"/>
  <c r="Y20" i="1" s="1"/>
  <c r="W27" i="5"/>
  <c r="T61" i="5"/>
  <c r="T62" i="5" s="1"/>
  <c r="T64" i="5" s="1"/>
  <c r="S27" i="5"/>
  <c r="O27" i="5"/>
  <c r="Y25" i="5"/>
  <c r="W16" i="5"/>
  <c r="X11" i="1"/>
  <c r="Y11" i="1" s="1"/>
  <c r="Y12" i="5"/>
  <c r="Y15" i="5"/>
  <c r="Y14" i="5"/>
  <c r="Y13" i="5"/>
  <c r="S16" i="5"/>
  <c r="Y8" i="5"/>
  <c r="Y9" i="5"/>
  <c r="Y10" i="5"/>
  <c r="X14" i="1"/>
  <c r="Y14" i="1" s="1"/>
  <c r="X10" i="1"/>
  <c r="Y10" i="1" s="1"/>
  <c r="K16" i="5"/>
  <c r="Y11" i="5"/>
  <c r="X7" i="1"/>
  <c r="Y7" i="1" s="1"/>
  <c r="X8" i="1"/>
  <c r="Y8" i="1" s="1"/>
  <c r="X13" i="1"/>
  <c r="Y13" i="1" s="1"/>
  <c r="X9" i="1"/>
  <c r="Y9" i="1" s="1"/>
  <c r="X12" i="1"/>
  <c r="Y12" i="1" s="1"/>
  <c r="Y35" i="5" l="1"/>
  <c r="S61" i="5"/>
  <c r="S62" i="5" s="1"/>
  <c r="S64" i="5" s="1"/>
  <c r="K61" i="5"/>
  <c r="Y59" i="5"/>
  <c r="Y44" i="5"/>
  <c r="W61" i="5"/>
  <c r="W62" i="5" s="1"/>
  <c r="W64" i="5" s="1"/>
  <c r="O61" i="5"/>
  <c r="O62" i="5" s="1"/>
  <c r="O64" i="5" s="1"/>
  <c r="W61" i="1"/>
  <c r="B53" i="4"/>
  <c r="B47" i="4"/>
  <c r="B50" i="4" s="1"/>
  <c r="W62" i="1"/>
  <c r="W64" i="1" s="1"/>
  <c r="D47" i="4"/>
  <c r="D50" i="4" s="1"/>
  <c r="D53" i="4"/>
  <c r="D62" i="5"/>
  <c r="D64" i="5" s="1"/>
  <c r="X59" i="1"/>
  <c r="Y59" i="1" s="1"/>
  <c r="X44" i="1"/>
  <c r="Y44" i="1" s="1"/>
  <c r="X35" i="1"/>
  <c r="Y35" i="1" s="1"/>
  <c r="X27" i="1"/>
  <c r="Y27" i="1" s="1"/>
  <c r="Y27" i="5"/>
  <c r="Y16" i="5"/>
  <c r="X16" i="1"/>
  <c r="Y61" i="5" l="1"/>
  <c r="X61" i="1"/>
  <c r="Y61" i="1" s="1"/>
  <c r="K62" i="5"/>
  <c r="Y16" i="1"/>
  <c r="X62" i="1" l="1"/>
  <c r="K64" i="5"/>
  <c r="Y64" i="5" s="1"/>
  <c r="Y62" i="5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<sst xmlns="http://schemas.openxmlformats.org/spreadsheetml/2006/main" count="283" uniqueCount="189">
  <si>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</si>
  <si>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</si>
  <si>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</si>
  <si>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</si>
  <si>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</si>
  <si>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</si>
  <si>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</si>
  <si>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</si>
  <si>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</si>
  <si>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</si>
  <si>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</si>
  <si>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</si>
  <si>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</si>
  <si>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</si>
  <si>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</si>
  <si>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</si>
  <si>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</si>
  <si>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</si>
  <si>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</si>
  <si>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</si>
  <si>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</si>
  <si>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</si>
  <si>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</si>
  <si>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</si>
  <si>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</si>
  <si>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</si>
  <si>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</si>
  <si>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</si>
  <si>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</si>
  <si>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</si>
  <si>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</si>
  <si>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</si>
  <si>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</si>
  <si>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</si>
  <si>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</si>
  <si>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</si>
  <si>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</si>
  <si>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</si>
  <si>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</si>
  <si>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</si>
  <si>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</si>
  <si>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</si>
  <si>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</si>
  <si>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</si>
  <si>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</si>
  <si>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</si>
  <si>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</si>
  <si>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</si>
  <si>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</si>
  <si>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</si>
  <si>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</si>
  <si>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</si>
  <si>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</si>
  <si>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</si>
  <si>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</si>
  <si>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</si>
  <si>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</si>
  <si>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</si>
  <si>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</si>
  <si>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</si>
  <si>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</si>
  <si>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</si>
  <si>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</si>
  <si>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</si>
  <si>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</si>
  <si>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</si>
  <si>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</si>
  <si>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</si>
  <si>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</si>
  <si>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</si>
  <si>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</si>
  <si>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</si>
  <si>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</si>
  <si>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</si>
  <si>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</si>
  <si>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</si>
  <si>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</si>
  <si>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</si>
  <si>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</si>
  <si>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</si>
  <si>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</si>
  <si>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</si>
  <si>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</si>
  <si>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</si>
  <si>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</si>
  <si>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</si>
  <si>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</si>
  <si>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</si>
  <si>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</si>
  <si>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</si>
  <si>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</si>
  <si>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</si>
  <si>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</si>
  <si>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</si>
  <si>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</si>
  <si>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</si>
  <si>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</si>
  <si>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</si>
  <si>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</si>
  <si>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</si>
  <si>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</si>
  <si>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</si>
  <si>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</si>
  <si>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</si>
  <si>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</si>
  <si>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</si>
  <si>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</si>
  <si>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</si>
  <si>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</si>
  <si>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</si>
  <si>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</si>
  <si>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</si>
  <si>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</si>
  <si>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</si>
  <si>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</si>
  <si>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</si>
  <si>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</si>
  <si>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</si>
  <si>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</si>
  <si>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</si>
  <si>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</si>
  <si>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</si>
  <si>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</si>
  <si>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</si>
  <si>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</si>
  <si>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</si>
  <si>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</si>
  <si>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</si>
  <si>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</si>
  <si>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</si>
  <si>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</si>
  <si>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</si>
  <si>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</si>
  <si>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</si>
  <si>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</si>
  <si>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</si>
  <si>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</si>
  <si>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</si>
  <si>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</si>
  <si>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</si>
  <si>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</si>
  <si>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</si>
  <si>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</si>
  <si>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</si>
  <si>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</si>
  <si>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</si>
  <si>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</si>
  <si>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</si>
  <si>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</si>
  <si>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</si>
  <si>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</si>
  <si>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</si>
  <si>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</si>
  <si>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</si>
  <si>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</si>
  <si>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</si>
  <si>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</si>
  <si>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</si>
  <si>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</si>
  <si>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</si>
  <si>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</si>
  <si>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</si>
  <si>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</si>
  <si>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</si>
  <si>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</si>
  <si>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</si>
  <si>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</si>
  <si>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</si>
  <si>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</si>
  <si>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</si>
  <si>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</si>
  <si>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</si>
  <si>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</si>
  <si>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</si>
  <si>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</si>
  <si>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</si>
  <si>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</si>
  <si>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</si>
  <si>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</si>
  <si>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</si>
  <si>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</si>
  <si>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</si>
  <si>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</si>
  <si>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</si>
  <si>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Enter Fiscal Year: SY18-19</t>
  </si>
  <si>
    <t>Enter School Name: Howard University Middle School of Mathematics &amp; Science PCS</t>
  </si>
  <si>
    <t>Enter School Contact Name: Kathryn Procope</t>
  </si>
  <si>
    <t>Enter School Contact Email: kprocope@hu-ms2.org</t>
  </si>
  <si>
    <t>Enter School Contact Phone Number: 202.806.7725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</si>
</sst>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  <numFmt numFmtId="173" formatCode="#,##0.0_);[Red]\(#,##0.0\)"/>
    <numFmt numFmtId="174" formatCode="_(&quot;$&quot;* #,##0_);_(&quot;$&quot;* \(#,##0\);_(&quot;$&quot;* &quot;-&quot;??_);_(@_)"/>
    <numFmt numFmtId="175" formatCode="&quot;$&quot;#,##0.000_);\(&quot;$&quot;#,##0.0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173" fontId="3" fillId="2" borderId="24" xfId="28" applyNumberFormat="1" applyFont="1" applyFill="1" applyBorder="1" applyAlignment="1">
      <alignment horizontal="center"/>
    </xf>
    <xf numFmtId="174" fontId="22" fillId="0" borderId="3" xfId="980" applyNumberFormat="1" applyFont="1" applyFill="1" applyBorder="1"/>
    <xf numFmtId="165" fontId="22" fillId="0" borderId="3" xfId="1" applyNumberFormat="1" applyFont="1" applyFill="1" applyBorder="1"/>
    <xf numFmtId="165" fontId="22" fillId="0" borderId="0" xfId="1" applyNumberFormat="1" applyFont="1" applyFill="1" applyBorder="1"/>
    <xf numFmtId="165" fontId="62" fillId="0" borderId="0" xfId="1" applyNumberFormat="1" applyFont="1" applyBorder="1"/>
    <xf numFmtId="174" fontId="62" fillId="0" borderId="0" xfId="980" applyNumberFormat="1" applyFont="1" applyBorder="1"/>
    <xf numFmtId="174" fontId="3" fillId="0" borderId="0" xfId="980" applyNumberFormat="1" applyFont="1"/>
    <xf numFmtId="175" fontId="3" fillId="0" borderId="0" xfId="2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165" fontId="3" fillId="0" borderId="0" xfId="2" applyNumberFormat="1" applyFont="1" applyFill="1"/>
    <xf numFmtId="165" fontId="3" fillId="0" borderId="0" xfId="1" applyNumberFormat="1" applyFont="1" applyFill="1"/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DAA1E18D-87F3-4C30-888E-6BE124B45E7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02565444-28BA-4414-89A9-4610B4E12C4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86B45366-C8C7-4785-9B01-46C2A98ACCC6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" name="AutoShape 8" descr="Image result for dc pcsb">
          <a:extLst>
            <a:ext uri="{FF2B5EF4-FFF2-40B4-BE49-F238E27FC236}">
              <a16:creationId xmlns:a16="http://schemas.microsoft.com/office/drawing/2014/main" id="{31949271-FB8C-493D-91C8-0CE8273B1024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1" name="AutoShape 8" descr="Image result for dc pcsb">
          <a:extLst>
            <a:ext uri="{FF2B5EF4-FFF2-40B4-BE49-F238E27FC236}">
              <a16:creationId xmlns:a16="http://schemas.microsoft.com/office/drawing/2014/main" id="{0B526FC4-E68F-44D9-A187-9392C78FE2E4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" name="AutoShape 8" descr="Image result for dc pcsb">
          <a:extLst>
            <a:ext uri="{FF2B5EF4-FFF2-40B4-BE49-F238E27FC236}">
              <a16:creationId xmlns:a16="http://schemas.microsoft.com/office/drawing/2014/main" id="{233957EA-DFA9-4DAB-924C-BFD690D5BD57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Normal="100" zoomScaleSheetLayoutView="100" workbookViewId="0">
      <selection activeCell="A15" sqref="A15"/>
    </sheetView>
  </sheetViews>
  <sheetFormatPr defaultColWidth="9.1796875" defaultRowHeight="13" x14ac:dyDescent="0.3"/>
  <cols>
    <col min="1" max="1" width="49.7265625" style="67" bestFit="1" customWidth="1"/>
    <col min="2" max="3" width="9.1796875" style="67"/>
    <col min="4" max="4" width="52.453125" style="67" customWidth="1"/>
    <col min="5" max="16384" width="9.1796875" style="67"/>
  </cols>
  <sheetData>
    <row r="1" spans="1:1" x14ac:dyDescent="0.3">
      <c r="A1" s="66" t="s">
        <v>135</v>
      </c>
    </row>
    <row r="2" spans="1:1" x14ac:dyDescent="0.3">
      <c r="A2" s="68" t="s">
        <v>185</v>
      </c>
    </row>
    <row r="4" spans="1:1" x14ac:dyDescent="0.3">
      <c r="A4" s="68" t="s">
        <v>186</v>
      </c>
    </row>
    <row r="5" spans="1:1" x14ac:dyDescent="0.3">
      <c r="A5" s="68" t="s">
        <v>187</v>
      </c>
    </row>
    <row r="6" spans="1:1" x14ac:dyDescent="0.3">
      <c r="A6" s="68" t="s">
        <v>188</v>
      </c>
    </row>
    <row r="8" spans="1:1" x14ac:dyDescent="0.3">
      <c r="A8" s="68" t="s">
        <v>184</v>
      </c>
    </row>
    <row r="9" spans="1:1" x14ac:dyDescent="0.3">
      <c r="A9" s="68" t="s">
        <v>136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topLeftCell="A16" zoomScale="115" zoomScaleNormal="115" zoomScaleSheetLayoutView="100" zoomScalePageLayoutView="115" workbookViewId="0">
      <selection activeCell="B60" sqref="B60"/>
    </sheetView>
  </sheetViews>
  <sheetFormatPr defaultColWidth="7.453125" defaultRowHeight="13" x14ac:dyDescent="0.3"/>
  <cols>
    <col min="1" max="1" width="31.453125" style="3" customWidth="1"/>
    <col min="2" max="2" width="26.453125" style="35" customWidth="1"/>
    <col min="3" max="3" width="15.7265625" style="35" customWidth="1"/>
    <col min="4" max="4" width="15.7265625" style="35" hidden="1" customWidth="1"/>
    <col min="5" max="5" width="12" style="3" bestFit="1" customWidth="1"/>
    <col min="6" max="6" width="11.1796875" style="3" bestFit="1" customWidth="1"/>
    <col min="7" max="16384" width="7.453125" style="3"/>
  </cols>
  <sheetData>
    <row r="1" spans="1:4" x14ac:dyDescent="0.3">
      <c r="A1" s="69" t="str">
        <f>'Cover Sheet'!A2</f>
        <v>Enter School Name: Howard University Middle School of Mathematics &amp; Science PCS</v>
      </c>
    </row>
    <row r="2" spans="1:4" x14ac:dyDescent="0.3">
      <c r="A2" s="3" t="str">
        <f>'Cover Sheet'!A8&amp;" Enrollment Data"</f>
        <v>Enter Fiscal Year: SY18-19 Enrollment Data</v>
      </c>
    </row>
    <row r="3" spans="1:4" x14ac:dyDescent="0.3">
      <c r="A3" s="14"/>
      <c r="B3" s="15"/>
      <c r="C3" s="16"/>
      <c r="D3" s="16"/>
    </row>
    <row r="4" spans="1:4" ht="31.5" customHeight="1" x14ac:dyDescent="0.3">
      <c r="A4" s="116" t="s">
        <v>38</v>
      </c>
      <c r="B4" s="115" t="s">
        <v>81</v>
      </c>
      <c r="C4" s="115" t="s">
        <v>122</v>
      </c>
      <c r="D4" s="115" t="s">
        <v>121</v>
      </c>
    </row>
    <row r="5" spans="1:4" ht="16.5" customHeight="1" x14ac:dyDescent="0.3">
      <c r="A5" s="117"/>
      <c r="B5" s="115"/>
      <c r="C5" s="115"/>
      <c r="D5" s="115"/>
    </row>
    <row r="6" spans="1:4" ht="12.75" customHeight="1" x14ac:dyDescent="0.3">
      <c r="A6" s="8" t="s">
        <v>39</v>
      </c>
      <c r="B6" s="36">
        <v>0</v>
      </c>
      <c r="C6" s="36">
        <v>0</v>
      </c>
      <c r="D6" s="36"/>
    </row>
    <row r="7" spans="1:4" ht="12.75" customHeight="1" x14ac:dyDescent="0.3">
      <c r="A7" s="8" t="s">
        <v>40</v>
      </c>
      <c r="B7" s="36">
        <v>0</v>
      </c>
      <c r="C7" s="36">
        <v>0</v>
      </c>
      <c r="D7" s="36"/>
    </row>
    <row r="8" spans="1:4" ht="12.75" customHeight="1" x14ac:dyDescent="0.3">
      <c r="A8" s="8" t="s">
        <v>41</v>
      </c>
      <c r="B8" s="36">
        <v>0</v>
      </c>
      <c r="C8" s="36">
        <v>0</v>
      </c>
      <c r="D8" s="36"/>
    </row>
    <row r="9" spans="1:4" ht="12.75" customHeight="1" x14ac:dyDescent="0.3">
      <c r="A9" s="8" t="s">
        <v>42</v>
      </c>
      <c r="B9" s="36">
        <v>0</v>
      </c>
      <c r="C9" s="36">
        <v>0</v>
      </c>
      <c r="D9" s="36"/>
    </row>
    <row r="10" spans="1:4" ht="12.75" customHeight="1" x14ac:dyDescent="0.3">
      <c r="A10" s="8" t="s">
        <v>43</v>
      </c>
      <c r="B10" s="36">
        <v>0</v>
      </c>
      <c r="C10" s="36">
        <v>0</v>
      </c>
      <c r="D10" s="36"/>
    </row>
    <row r="11" spans="1:4" ht="12.75" customHeight="1" x14ac:dyDescent="0.3">
      <c r="A11" s="8" t="s">
        <v>44</v>
      </c>
      <c r="B11" s="36">
        <v>0</v>
      </c>
      <c r="C11" s="36">
        <v>0</v>
      </c>
      <c r="D11" s="36"/>
    </row>
    <row r="12" spans="1:4" ht="12.75" customHeight="1" x14ac:dyDescent="0.3">
      <c r="A12" s="8" t="s">
        <v>45</v>
      </c>
      <c r="B12" s="36">
        <v>0</v>
      </c>
      <c r="C12" s="36">
        <v>0</v>
      </c>
      <c r="D12" s="36"/>
    </row>
    <row r="13" spans="1:4" ht="12.75" customHeight="1" x14ac:dyDescent="0.3">
      <c r="A13" s="8" t="s">
        <v>46</v>
      </c>
      <c r="B13" s="36">
        <v>0</v>
      </c>
      <c r="C13" s="36">
        <v>0</v>
      </c>
      <c r="D13" s="36"/>
    </row>
    <row r="14" spans="1:4" ht="12.75" customHeight="1" x14ac:dyDescent="0.3">
      <c r="A14" s="9" t="s">
        <v>47</v>
      </c>
      <c r="B14" s="36">
        <v>100</v>
      </c>
      <c r="C14" s="36">
        <v>105</v>
      </c>
      <c r="D14" s="36"/>
    </row>
    <row r="15" spans="1:4" ht="12.75" customHeight="1" x14ac:dyDescent="0.3">
      <c r="A15" s="9" t="s">
        <v>48</v>
      </c>
      <c r="B15" s="36">
        <v>84</v>
      </c>
      <c r="C15" s="36">
        <v>105</v>
      </c>
      <c r="D15" s="36"/>
    </row>
    <row r="16" spans="1:4" ht="12.75" customHeight="1" x14ac:dyDescent="0.3">
      <c r="A16" s="9" t="s">
        <v>49</v>
      </c>
      <c r="B16" s="36">
        <v>94</v>
      </c>
      <c r="C16" s="36">
        <v>84</v>
      </c>
      <c r="D16" s="36"/>
    </row>
    <row r="17" spans="1:4" ht="12.75" customHeight="1" x14ac:dyDescent="0.3">
      <c r="A17" s="8" t="s">
        <v>50</v>
      </c>
      <c r="B17" s="36">
        <v>0</v>
      </c>
      <c r="C17" s="36">
        <v>0</v>
      </c>
      <c r="D17" s="36"/>
    </row>
    <row r="18" spans="1:4" ht="12.75" customHeight="1" x14ac:dyDescent="0.3">
      <c r="A18" s="8" t="s">
        <v>51</v>
      </c>
      <c r="B18" s="36">
        <v>0</v>
      </c>
      <c r="C18" s="36">
        <v>0</v>
      </c>
      <c r="D18" s="36"/>
    </row>
    <row r="19" spans="1:4" ht="12.75" customHeight="1" x14ac:dyDescent="0.3">
      <c r="A19" s="8" t="s">
        <v>52</v>
      </c>
      <c r="B19" s="36">
        <v>0</v>
      </c>
      <c r="C19" s="36">
        <v>0</v>
      </c>
      <c r="D19" s="36"/>
    </row>
    <row r="20" spans="1:4" ht="12.75" customHeight="1" x14ac:dyDescent="0.3">
      <c r="A20" s="8" t="s">
        <v>53</v>
      </c>
      <c r="B20" s="36">
        <v>0</v>
      </c>
      <c r="C20" s="36">
        <v>0</v>
      </c>
      <c r="D20" s="36"/>
    </row>
    <row r="21" spans="1:4" ht="12.75" customHeight="1" x14ac:dyDescent="0.3">
      <c r="A21" s="8" t="s">
        <v>54</v>
      </c>
      <c r="B21" s="36">
        <v>0</v>
      </c>
      <c r="C21" s="36">
        <v>0</v>
      </c>
      <c r="D21" s="36"/>
    </row>
    <row r="22" spans="1:4" ht="12.75" customHeight="1" x14ac:dyDescent="0.3">
      <c r="A22" s="8" t="s">
        <v>55</v>
      </c>
      <c r="B22" s="36">
        <v>0</v>
      </c>
      <c r="C22" s="36">
        <v>0</v>
      </c>
      <c r="D22" s="36"/>
    </row>
    <row r="23" spans="1:4" ht="13.5" customHeight="1" x14ac:dyDescent="0.3">
      <c r="A23" s="9" t="s">
        <v>56</v>
      </c>
      <c r="B23" s="36">
        <v>0</v>
      </c>
      <c r="C23" s="36">
        <v>0</v>
      </c>
      <c r="D23" s="36"/>
    </row>
    <row r="24" spans="1:4" x14ac:dyDescent="0.3">
      <c r="A24" s="17" t="s">
        <v>57</v>
      </c>
      <c r="B24" s="13">
        <f>SUM(B6:B23)</f>
        <v>278</v>
      </c>
      <c r="C24" s="13">
        <f>SUM(C6:C23)</f>
        <v>294</v>
      </c>
      <c r="D24" s="13">
        <f>SUM(D6:D23)</f>
        <v>0</v>
      </c>
    </row>
    <row r="25" spans="1:4" x14ac:dyDescent="0.3">
      <c r="A25" s="18"/>
      <c r="B25" s="19"/>
      <c r="C25" s="11"/>
      <c r="D25" s="11"/>
    </row>
    <row r="26" spans="1:4" ht="26" x14ac:dyDescent="0.3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3">
      <c r="A27" s="8" t="s">
        <v>59</v>
      </c>
      <c r="B27" s="36">
        <v>32</v>
      </c>
      <c r="C27" s="36">
        <v>27</v>
      </c>
      <c r="D27" s="36"/>
    </row>
    <row r="28" spans="1:4" ht="12.75" customHeight="1" x14ac:dyDescent="0.3">
      <c r="A28" s="8" t="s">
        <v>60</v>
      </c>
      <c r="B28" s="36">
        <v>0</v>
      </c>
      <c r="C28" s="36">
        <v>0</v>
      </c>
      <c r="D28" s="36"/>
    </row>
    <row r="29" spans="1:4" ht="12.75" customHeight="1" x14ac:dyDescent="0.3">
      <c r="A29" s="8" t="s">
        <v>61</v>
      </c>
      <c r="B29" s="36">
        <v>0</v>
      </c>
      <c r="C29" s="36">
        <v>0</v>
      </c>
      <c r="D29" s="36"/>
    </row>
    <row r="30" spans="1:4" ht="12.75" customHeight="1" x14ac:dyDescent="0.3">
      <c r="A30" s="8" t="s">
        <v>62</v>
      </c>
      <c r="B30" s="36">
        <v>0</v>
      </c>
      <c r="C30" s="36">
        <v>0</v>
      </c>
      <c r="D30" s="36"/>
    </row>
    <row r="31" spans="1:4" ht="13.5" customHeight="1" x14ac:dyDescent="0.3">
      <c r="A31" s="17" t="s">
        <v>63</v>
      </c>
      <c r="B31" s="13">
        <f>SUM(B27:B30)</f>
        <v>32</v>
      </c>
      <c r="C31" s="13">
        <f>SUM(C27:C30)</f>
        <v>27</v>
      </c>
      <c r="D31" s="13">
        <f>SUM(D27:D30)</f>
        <v>0</v>
      </c>
    </row>
    <row r="32" spans="1:4" ht="13.5" customHeight="1" x14ac:dyDescent="0.3">
      <c r="A32" s="21"/>
      <c r="B32" s="22"/>
      <c r="C32" s="11"/>
      <c r="D32" s="11"/>
    </row>
    <row r="33" spans="1:6" ht="13.5" x14ac:dyDescent="0.35">
      <c r="A33" s="23"/>
      <c r="B33" s="22"/>
      <c r="C33" s="11"/>
      <c r="D33" s="11"/>
    </row>
    <row r="34" spans="1:6" ht="32.25" customHeight="1" x14ac:dyDescent="0.3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3">
      <c r="A35" s="12" t="s">
        <v>65</v>
      </c>
      <c r="B35" s="37">
        <v>9</v>
      </c>
      <c r="C35" s="37">
        <v>9</v>
      </c>
      <c r="D35" s="37"/>
    </row>
    <row r="36" spans="1:6" x14ac:dyDescent="0.3">
      <c r="A36" s="21"/>
      <c r="B36" s="22"/>
      <c r="C36" s="11"/>
      <c r="D36" s="11"/>
    </row>
    <row r="37" spans="1:6" ht="12.75" customHeight="1" x14ac:dyDescent="0.3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3">
      <c r="A38" s="7" t="s">
        <v>67</v>
      </c>
      <c r="B38" s="107">
        <v>0</v>
      </c>
      <c r="C38" s="36">
        <v>0</v>
      </c>
      <c r="D38" s="36"/>
    </row>
    <row r="39" spans="1:6" ht="12.75" customHeight="1" x14ac:dyDescent="0.3">
      <c r="A39" s="7" t="s">
        <v>68</v>
      </c>
      <c r="B39" s="107">
        <v>0</v>
      </c>
      <c r="C39" s="36">
        <v>0</v>
      </c>
      <c r="D39" s="36"/>
    </row>
    <row r="40" spans="1:6" ht="12.75" customHeight="1" x14ac:dyDescent="0.3">
      <c r="A40" s="7" t="s">
        <v>69</v>
      </c>
      <c r="B40" s="107">
        <v>0</v>
      </c>
      <c r="C40" s="36">
        <v>0</v>
      </c>
      <c r="D40" s="36"/>
      <c r="F40" s="4"/>
    </row>
    <row r="41" spans="1:6" ht="12.75" customHeight="1" x14ac:dyDescent="0.3">
      <c r="A41" s="7" t="s">
        <v>70</v>
      </c>
      <c r="B41" s="107">
        <v>0</v>
      </c>
      <c r="C41" s="36">
        <v>0</v>
      </c>
      <c r="D41" s="36"/>
      <c r="F41" s="4"/>
    </row>
    <row r="42" spans="1:6" ht="13.5" customHeight="1" x14ac:dyDescent="0.3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3">
      <c r="A43" s="18"/>
      <c r="B43" s="22"/>
      <c r="C43" s="25"/>
      <c r="D43" s="25"/>
      <c r="F43" s="4"/>
    </row>
    <row r="44" spans="1:6" ht="26" x14ac:dyDescent="0.3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3">
      <c r="A45" s="12" t="s">
        <v>73</v>
      </c>
      <c r="B45" s="37">
        <v>0</v>
      </c>
      <c r="C45" s="37">
        <v>0</v>
      </c>
      <c r="D45" s="37"/>
      <c r="F45" s="4"/>
    </row>
    <row r="46" spans="1:6" ht="13.5" customHeight="1" x14ac:dyDescent="0.3">
      <c r="A46" s="21"/>
      <c r="B46" s="22"/>
      <c r="C46" s="27"/>
      <c r="D46" s="27"/>
      <c r="F46" s="4"/>
    </row>
    <row r="47" spans="1:6" ht="12.75" customHeight="1" x14ac:dyDescent="0.3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3">
      <c r="A48" s="12" t="s">
        <v>74</v>
      </c>
      <c r="B48" s="37">
        <v>0</v>
      </c>
      <c r="C48" s="37">
        <v>0</v>
      </c>
      <c r="D48" s="37"/>
      <c r="F48" s="4"/>
    </row>
    <row r="49" spans="1:6" x14ac:dyDescent="0.3">
      <c r="A49" s="21"/>
      <c r="B49" s="22"/>
      <c r="C49" s="27"/>
      <c r="D49" s="27"/>
      <c r="F49" s="4"/>
    </row>
    <row r="50" spans="1:6" ht="12.75" customHeight="1" x14ac:dyDescent="0.3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3">
      <c r="A51" s="12" t="s">
        <v>120</v>
      </c>
      <c r="B51" s="37">
        <v>126</v>
      </c>
      <c r="C51" s="37">
        <v>126</v>
      </c>
      <c r="D51" s="37"/>
      <c r="F51" s="4"/>
    </row>
    <row r="52" spans="1:6" x14ac:dyDescent="0.3">
      <c r="A52" s="28"/>
      <c r="B52" s="10"/>
      <c r="C52" s="29"/>
      <c r="D52" s="29"/>
      <c r="F52" s="4"/>
    </row>
    <row r="53" spans="1:6" ht="26" x14ac:dyDescent="0.3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3">
      <c r="A54" s="7" t="s">
        <v>76</v>
      </c>
      <c r="B54" s="36">
        <v>0</v>
      </c>
      <c r="C54" s="36">
        <v>0</v>
      </c>
      <c r="D54" s="36"/>
      <c r="F54" s="4"/>
    </row>
    <row r="55" spans="1:6" ht="12.75" customHeight="1" x14ac:dyDescent="0.3">
      <c r="A55" s="7" t="s">
        <v>77</v>
      </c>
      <c r="B55" s="36">
        <v>0</v>
      </c>
      <c r="C55" s="36">
        <v>0</v>
      </c>
      <c r="D55" s="36"/>
      <c r="F55" s="4"/>
    </row>
    <row r="56" spans="1:6" ht="12.75" customHeight="1" x14ac:dyDescent="0.3">
      <c r="A56" s="7" t="s">
        <v>78</v>
      </c>
      <c r="B56" s="36">
        <v>0</v>
      </c>
      <c r="C56" s="36">
        <v>0</v>
      </c>
      <c r="D56" s="36"/>
      <c r="F56" s="4"/>
    </row>
    <row r="57" spans="1:6" ht="12.75" customHeight="1" x14ac:dyDescent="0.3">
      <c r="A57" s="7" t="s">
        <v>79</v>
      </c>
      <c r="B57" s="36">
        <v>0</v>
      </c>
      <c r="C57" s="36">
        <v>0</v>
      </c>
      <c r="D57" s="36"/>
      <c r="F57" s="4"/>
    </row>
    <row r="58" spans="1:6" ht="14.25" customHeight="1" x14ac:dyDescent="0.3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3">
      <c r="A59" s="5"/>
      <c r="B59" s="10"/>
      <c r="C59" s="11"/>
      <c r="D59" s="11"/>
      <c r="F59" s="4"/>
    </row>
    <row r="60" spans="1:6" x14ac:dyDescent="0.3">
      <c r="A60" s="31"/>
      <c r="B60" s="32"/>
      <c r="C60" s="32"/>
      <c r="D60" s="32"/>
      <c r="F60" s="4"/>
    </row>
    <row r="61" spans="1:6" x14ac:dyDescent="0.3">
      <c r="A61" s="33"/>
      <c r="B61" s="34"/>
      <c r="C61" s="34"/>
      <c r="D61" s="34"/>
      <c r="E61" s="4"/>
      <c r="F61" s="6"/>
    </row>
    <row r="62" spans="1:6" x14ac:dyDescent="0.3">
      <c r="F62" s="4"/>
    </row>
    <row r="63" spans="1:6" x14ac:dyDescent="0.3">
      <c r="F63" s="4"/>
    </row>
    <row r="64" spans="1:6" x14ac:dyDescent="0.3">
      <c r="F64" s="4"/>
    </row>
    <row r="65" spans="6:6" x14ac:dyDescent="0.3">
      <c r="F65" s="4"/>
    </row>
    <row r="66" spans="6:6" x14ac:dyDescent="0.3">
      <c r="F66" s="4"/>
    </row>
    <row r="67" spans="6:6" x14ac:dyDescent="0.3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Normal="100" zoomScaleSheetLayoutView="100" workbookViewId="0">
      <pane xSplit="3" ySplit="4" topLeftCell="O45" activePane="bottomRight" state="frozen"/>
      <selection pane="topRight" activeCell="D1" sqref="D1"/>
      <selection pane="bottomLeft" activeCell="A5" sqref="A5"/>
      <selection pane="bottomRight" activeCell="Y16" sqref="Y16"/>
    </sheetView>
  </sheetViews>
  <sheetFormatPr defaultColWidth="9.1796875" defaultRowHeight="12.75" customHeight="1" x14ac:dyDescent="0.3"/>
  <cols>
    <col min="1" max="1" width="1.81640625" style="38" customWidth="1"/>
    <col min="2" max="2" width="45.81640625" style="38" bestFit="1" customWidth="1"/>
    <col min="3" max="3" width="2.81640625" style="38" customWidth="1"/>
    <col min="4" max="4" width="12.453125" style="38" bestFit="1" customWidth="1"/>
    <col min="5" max="5" width="2.7265625" style="2" customWidth="1"/>
    <col min="6" max="6" width="10.7265625" style="39" customWidth="1"/>
    <col min="7" max="7" width="2.7265625" style="2" customWidth="1"/>
    <col min="8" max="23" width="10.7265625" style="38" customWidth="1"/>
    <col min="24" max="24" width="2.7265625" style="38" customWidth="1"/>
    <col min="25" max="25" width="14.81640625" style="38" customWidth="1"/>
    <col min="26" max="16384" width="9.1796875" style="38"/>
  </cols>
  <sheetData>
    <row r="1" spans="1:25" ht="12.75" customHeight="1" x14ac:dyDescent="0.3">
      <c r="A1" s="57" t="str">
        <f>'Cover Sheet'!A2</f>
        <v>Enter School Name: Howard University Middle School of Mathematics &amp; Science PCS</v>
      </c>
      <c r="B1" s="57"/>
    </row>
    <row r="2" spans="1:25" ht="12.75" customHeight="1" x14ac:dyDescent="0.3">
      <c r="A2" s="38" t="str">
        <f>'Cover Sheet'!A8&amp;" Annual Budget"</f>
        <v>Enter Fiscal Year: SY18-19 Annual Budget</v>
      </c>
    </row>
    <row r="3" spans="1:25" ht="13" x14ac:dyDescent="0.3">
      <c r="A3" s="40"/>
      <c r="B3" s="41"/>
      <c r="C3" s="40"/>
      <c r="D3" s="41"/>
      <c r="F3" s="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0"/>
    </row>
    <row r="4" spans="1:25" ht="13" x14ac:dyDescent="0.3">
      <c r="A4" s="2"/>
      <c r="B4" s="2"/>
      <c r="C4" s="40"/>
      <c r="D4" s="44" t="s">
        <v>149</v>
      </c>
      <c r="E4" s="45"/>
      <c r="F4" s="45"/>
      <c r="G4" s="45"/>
      <c r="H4" s="44" t="s">
        <v>137</v>
      </c>
      <c r="I4" s="44" t="s">
        <v>138</v>
      </c>
      <c r="J4" s="44" t="s">
        <v>139</v>
      </c>
      <c r="K4" s="44" t="s">
        <v>82</v>
      </c>
      <c r="L4" s="44" t="s">
        <v>140</v>
      </c>
      <c r="M4" s="44" t="s">
        <v>141</v>
      </c>
      <c r="N4" s="44" t="s">
        <v>142</v>
      </c>
      <c r="O4" s="44" t="s">
        <v>83</v>
      </c>
      <c r="P4" s="44" t="s">
        <v>143</v>
      </c>
      <c r="Q4" s="44" t="s">
        <v>144</v>
      </c>
      <c r="R4" s="44" t="s">
        <v>145</v>
      </c>
      <c r="S4" s="44" t="s">
        <v>84</v>
      </c>
      <c r="T4" s="44" t="s">
        <v>146</v>
      </c>
      <c r="U4" s="44" t="s">
        <v>147</v>
      </c>
      <c r="V4" s="44" t="s">
        <v>148</v>
      </c>
      <c r="W4" s="44" t="s">
        <v>85</v>
      </c>
      <c r="X4" s="40"/>
      <c r="Y4" s="44" t="s">
        <v>150</v>
      </c>
    </row>
    <row r="5" spans="1:25" ht="13" x14ac:dyDescent="0.3">
      <c r="B5" s="2"/>
      <c r="C5" s="40"/>
      <c r="D5" s="46" t="s">
        <v>2</v>
      </c>
      <c r="E5" s="47"/>
      <c r="F5" s="47"/>
      <c r="G5" s="47"/>
      <c r="H5" s="46" t="str">
        <f>D5</f>
        <v>Budget</v>
      </c>
      <c r="I5" s="46" t="str">
        <f>H5</f>
        <v>Budget</v>
      </c>
      <c r="J5" s="46" t="str">
        <f t="shared" ref="J5:W5" si="0">I5</f>
        <v>Budget</v>
      </c>
      <c r="K5" s="46" t="str">
        <f t="shared" si="0"/>
        <v>Budget</v>
      </c>
      <c r="L5" s="46" t="str">
        <f t="shared" si="0"/>
        <v>Budget</v>
      </c>
      <c r="M5" s="46" t="str">
        <f t="shared" si="0"/>
        <v>Budget</v>
      </c>
      <c r="N5" s="46" t="str">
        <f t="shared" si="0"/>
        <v>Budget</v>
      </c>
      <c r="O5" s="46" t="str">
        <f t="shared" si="0"/>
        <v>Budget</v>
      </c>
      <c r="P5" s="46" t="str">
        <f t="shared" si="0"/>
        <v>Budget</v>
      </c>
      <c r="Q5" s="46" t="str">
        <f t="shared" si="0"/>
        <v>Budget</v>
      </c>
      <c r="R5" s="46" t="str">
        <f t="shared" si="0"/>
        <v>Budget</v>
      </c>
      <c r="S5" s="46" t="str">
        <f t="shared" si="0"/>
        <v>Budget</v>
      </c>
      <c r="T5" s="46" t="str">
        <f t="shared" si="0"/>
        <v>Budget</v>
      </c>
      <c r="U5" s="46" t="str">
        <f t="shared" si="0"/>
        <v>Budget</v>
      </c>
      <c r="V5" s="46" t="str">
        <f t="shared" si="0"/>
        <v>Budget</v>
      </c>
      <c r="W5" s="46" t="str">
        <f t="shared" si="0"/>
        <v>Budget</v>
      </c>
      <c r="X5" s="40"/>
      <c r="Y5" s="46" t="s">
        <v>112</v>
      </c>
    </row>
    <row r="6" spans="1:25" ht="13" x14ac:dyDescent="0.3">
      <c r="A6" s="48" t="s">
        <v>4</v>
      </c>
      <c r="B6" s="2"/>
      <c r="C6" s="40"/>
      <c r="X6" s="40"/>
    </row>
    <row r="7" spans="1:25" ht="13" x14ac:dyDescent="0.3">
      <c r="A7" s="41"/>
      <c r="B7" s="41" t="s">
        <v>153</v>
      </c>
      <c r="C7" s="40"/>
      <c r="D7" s="49">
        <f>4092651.23-852023</f>
        <v>3240628.23</v>
      </c>
      <c r="E7" s="50"/>
      <c r="F7" s="50"/>
      <c r="G7" s="50"/>
      <c r="H7" s="49">
        <f>3383818/12</f>
        <v>281984.83333333331</v>
      </c>
      <c r="I7" s="49">
        <f t="shared" ref="I7:J7" si="1">3383818/12</f>
        <v>281984.83333333331</v>
      </c>
      <c r="J7" s="49">
        <f t="shared" si="1"/>
        <v>281984.83333333331</v>
      </c>
      <c r="K7" s="50">
        <f>SUM(H7:J7)</f>
        <v>845954.5</v>
      </c>
      <c r="L7" s="49">
        <f t="shared" ref="L7:N7" si="2">3383818/12</f>
        <v>281984.83333333331</v>
      </c>
      <c r="M7" s="49">
        <f t="shared" si="2"/>
        <v>281984.83333333331</v>
      </c>
      <c r="N7" s="49">
        <f t="shared" si="2"/>
        <v>281984.83333333331</v>
      </c>
      <c r="O7" s="50">
        <f>SUM(L7:N7)</f>
        <v>845954.5</v>
      </c>
      <c r="P7" s="49">
        <f t="shared" ref="P7:R7" si="3">3383818/12</f>
        <v>281984.83333333331</v>
      </c>
      <c r="Q7" s="49">
        <f t="shared" si="3"/>
        <v>281984.83333333331</v>
      </c>
      <c r="R7" s="49">
        <f t="shared" si="3"/>
        <v>281984.83333333331</v>
      </c>
      <c r="S7" s="50">
        <f>SUM(P7:R7)</f>
        <v>845954.5</v>
      </c>
      <c r="T7" s="49">
        <f>3383818/12</f>
        <v>281984.83333333331</v>
      </c>
      <c r="U7" s="49">
        <f t="shared" ref="U7:V7" si="4">3383818/12</f>
        <v>281984.83333333331</v>
      </c>
      <c r="V7" s="49">
        <f t="shared" si="4"/>
        <v>281984.83333333331</v>
      </c>
      <c r="W7" s="50">
        <f>SUM(T7:V7)</f>
        <v>845954.5</v>
      </c>
      <c r="X7" s="40"/>
      <c r="Y7" s="42">
        <f>SUM(K7,O7,S7,W7)</f>
        <v>3383818</v>
      </c>
    </row>
    <row r="8" spans="1:25" ht="13" x14ac:dyDescent="0.3">
      <c r="A8" s="41"/>
      <c r="B8" s="41" t="s">
        <v>154</v>
      </c>
      <c r="C8" s="40"/>
      <c r="D8" s="49">
        <f>470899+52859+45233+283032</f>
        <v>852023</v>
      </c>
      <c r="E8" s="50"/>
      <c r="F8" s="50"/>
      <c r="G8" s="50"/>
      <c r="H8" s="49">
        <f>735121/12</f>
        <v>61260.083333333336</v>
      </c>
      <c r="I8" s="49">
        <f t="shared" ref="I8:J8" si="5">735121/12</f>
        <v>61260.083333333336</v>
      </c>
      <c r="J8" s="49">
        <f t="shared" si="5"/>
        <v>61260.083333333336</v>
      </c>
      <c r="K8" s="50">
        <f t="shared" ref="K8:K15" si="6">SUM(H8:J8)</f>
        <v>183780.25</v>
      </c>
      <c r="L8" s="49">
        <f t="shared" ref="L8:N8" si="7">735121/12</f>
        <v>61260.083333333336</v>
      </c>
      <c r="M8" s="49">
        <f t="shared" si="7"/>
        <v>61260.083333333336</v>
      </c>
      <c r="N8" s="49">
        <f t="shared" si="7"/>
        <v>61260.083333333336</v>
      </c>
      <c r="O8" s="50">
        <f t="shared" ref="O8:O15" si="8">SUM(L8:N8)</f>
        <v>183780.25</v>
      </c>
      <c r="P8" s="49">
        <f t="shared" ref="P8:R8" si="9">735121/12</f>
        <v>61260.083333333336</v>
      </c>
      <c r="Q8" s="49">
        <f t="shared" si="9"/>
        <v>61260.083333333336</v>
      </c>
      <c r="R8" s="49">
        <f t="shared" si="9"/>
        <v>61260.083333333336</v>
      </c>
      <c r="S8" s="50">
        <f t="shared" ref="S8:S15" si="10">SUM(P8:R8)</f>
        <v>183780.25</v>
      </c>
      <c r="T8" s="49">
        <f>735121/12</f>
        <v>61260.083333333336</v>
      </c>
      <c r="U8" s="49">
        <f t="shared" ref="U8:V8" si="11">735121/12</f>
        <v>61260.083333333336</v>
      </c>
      <c r="V8" s="49">
        <f t="shared" si="11"/>
        <v>61260.083333333336</v>
      </c>
      <c r="W8" s="50">
        <f t="shared" ref="W8:W15" si="12">SUM(T8:V8)</f>
        <v>183780.25</v>
      </c>
      <c r="X8" s="40"/>
      <c r="Y8" s="42">
        <f t="shared" ref="Y8:Y15" si="13">SUM(K8,O8,S8,W8)</f>
        <v>735121</v>
      </c>
    </row>
    <row r="9" spans="1:25" ht="13" x14ac:dyDescent="0.3">
      <c r="A9" s="41"/>
      <c r="B9" s="41" t="s">
        <v>5</v>
      </c>
      <c r="C9" s="40"/>
      <c r="D9" s="49">
        <v>887578</v>
      </c>
      <c r="E9" s="50"/>
      <c r="F9" s="50"/>
      <c r="G9" s="50"/>
      <c r="H9" s="49">
        <f>938662/12</f>
        <v>78221.833333333328</v>
      </c>
      <c r="I9" s="49">
        <f t="shared" ref="I9:J9" si="14">938662/12</f>
        <v>78221.833333333328</v>
      </c>
      <c r="J9" s="49">
        <f t="shared" si="14"/>
        <v>78221.833333333328</v>
      </c>
      <c r="K9" s="50">
        <f t="shared" si="6"/>
        <v>234665.5</v>
      </c>
      <c r="L9" s="49">
        <f t="shared" ref="L9:N9" si="15">938662/12</f>
        <v>78221.833333333328</v>
      </c>
      <c r="M9" s="49">
        <f t="shared" si="15"/>
        <v>78221.833333333328</v>
      </c>
      <c r="N9" s="49">
        <f t="shared" si="15"/>
        <v>78221.833333333328</v>
      </c>
      <c r="O9" s="50">
        <f t="shared" si="8"/>
        <v>234665.5</v>
      </c>
      <c r="P9" s="49">
        <f t="shared" ref="P9:R9" si="16">938662/12</f>
        <v>78221.833333333328</v>
      </c>
      <c r="Q9" s="49">
        <f t="shared" si="16"/>
        <v>78221.833333333328</v>
      </c>
      <c r="R9" s="49">
        <f t="shared" si="16"/>
        <v>78221.833333333328</v>
      </c>
      <c r="S9" s="50">
        <f t="shared" si="10"/>
        <v>234665.5</v>
      </c>
      <c r="T9" s="49">
        <f>938662/12</f>
        <v>78221.833333333328</v>
      </c>
      <c r="U9" s="49">
        <f t="shared" ref="U9:V9" si="17">938662/12</f>
        <v>78221.833333333328</v>
      </c>
      <c r="V9" s="49">
        <f t="shared" si="17"/>
        <v>78221.833333333328</v>
      </c>
      <c r="W9" s="50">
        <f t="shared" si="12"/>
        <v>234665.5</v>
      </c>
      <c r="X9" s="40"/>
      <c r="Y9" s="42">
        <f t="shared" si="13"/>
        <v>938662</v>
      </c>
    </row>
    <row r="10" spans="1:25" ht="13" x14ac:dyDescent="0.3">
      <c r="A10" s="41"/>
      <c r="B10" s="41" t="s">
        <v>167</v>
      </c>
      <c r="C10" s="40"/>
      <c r="D10" s="49">
        <v>263223.26</v>
      </c>
      <c r="E10" s="50"/>
      <c r="F10" s="50"/>
      <c r="G10" s="50"/>
      <c r="H10" s="49">
        <f>306383/12</f>
        <v>25531.916666666668</v>
      </c>
      <c r="I10" s="49">
        <f t="shared" ref="I10:J10" si="18">306383/12</f>
        <v>25531.916666666668</v>
      </c>
      <c r="J10" s="49">
        <f t="shared" si="18"/>
        <v>25531.916666666668</v>
      </c>
      <c r="K10" s="50">
        <f t="shared" si="6"/>
        <v>76595.75</v>
      </c>
      <c r="L10" s="49"/>
      <c r="M10" s="49"/>
      <c r="N10" s="49">
        <f t="shared" ref="N10" si="19">306383/12</f>
        <v>25531.916666666668</v>
      </c>
      <c r="O10" s="50">
        <f t="shared" si="8"/>
        <v>25531.916666666668</v>
      </c>
      <c r="P10" s="49">
        <f t="shared" ref="P10" si="20">306383/12</f>
        <v>25531.916666666668</v>
      </c>
      <c r="Q10" s="49">
        <f>306383/6</f>
        <v>51063.833333333336</v>
      </c>
      <c r="R10" s="49">
        <f>306383/6</f>
        <v>51063.833333333336</v>
      </c>
      <c r="S10" s="50">
        <f t="shared" si="10"/>
        <v>127659.58333333334</v>
      </c>
      <c r="T10" s="49">
        <f t="shared" ref="T10:V10" si="21">306383/12</f>
        <v>25531.916666666668</v>
      </c>
      <c r="U10" s="49">
        <f t="shared" si="21"/>
        <v>25531.916666666668</v>
      </c>
      <c r="V10" s="49">
        <f t="shared" si="21"/>
        <v>25531.916666666668</v>
      </c>
      <c r="W10" s="50">
        <f t="shared" si="12"/>
        <v>76595.75</v>
      </c>
      <c r="X10" s="40"/>
      <c r="Y10" s="42">
        <f t="shared" si="13"/>
        <v>306383</v>
      </c>
    </row>
    <row r="11" spans="1:25" ht="13" x14ac:dyDescent="0.3">
      <c r="A11" s="41"/>
      <c r="B11" s="41" t="s">
        <v>6</v>
      </c>
      <c r="C11" s="40"/>
      <c r="D11" s="49">
        <f>81183.11+30624.94</f>
        <v>111808.05</v>
      </c>
      <c r="E11" s="50"/>
      <c r="F11" s="50"/>
      <c r="G11" s="50"/>
      <c r="H11" s="49">
        <v>0</v>
      </c>
      <c r="I11" s="49"/>
      <c r="J11" s="49">
        <f>115935.2/12</f>
        <v>9661.2666666666664</v>
      </c>
      <c r="K11" s="50">
        <f t="shared" si="6"/>
        <v>9661.2666666666664</v>
      </c>
      <c r="L11" s="49">
        <f>115935.2/6</f>
        <v>19322.533333333333</v>
      </c>
      <c r="M11" s="49">
        <f>115935.2/6</f>
        <v>19322.533333333333</v>
      </c>
      <c r="N11" s="49">
        <f>115935.2/12</f>
        <v>9661.2666666666664</v>
      </c>
      <c r="O11" s="50">
        <f t="shared" si="8"/>
        <v>48306.333333333328</v>
      </c>
      <c r="P11" s="49">
        <f t="shared" ref="P11:R11" si="22">115935.2/12</f>
        <v>9661.2666666666664</v>
      </c>
      <c r="Q11" s="49">
        <f t="shared" si="22"/>
        <v>9661.2666666666664</v>
      </c>
      <c r="R11" s="49">
        <f t="shared" si="22"/>
        <v>9661.2666666666664</v>
      </c>
      <c r="S11" s="50">
        <f t="shared" si="10"/>
        <v>28983.8</v>
      </c>
      <c r="T11" s="49">
        <f t="shared" ref="T11:V11" si="23">115935.2/12</f>
        <v>9661.2666666666664</v>
      </c>
      <c r="U11" s="49">
        <f t="shared" si="23"/>
        <v>9661.2666666666664</v>
      </c>
      <c r="V11" s="49">
        <f t="shared" si="23"/>
        <v>9661.2666666666664</v>
      </c>
      <c r="W11" s="50">
        <f t="shared" si="12"/>
        <v>28983.8</v>
      </c>
      <c r="X11" s="40"/>
      <c r="Y11" s="42">
        <f t="shared" si="13"/>
        <v>115935.2</v>
      </c>
    </row>
    <row r="12" spans="1:25" ht="13" x14ac:dyDescent="0.3">
      <c r="A12" s="41"/>
      <c r="B12" s="41" t="s">
        <v>7</v>
      </c>
      <c r="C12" s="40"/>
      <c r="D12" s="49">
        <v>1010890.29</v>
      </c>
      <c r="E12" s="50"/>
      <c r="F12" s="50"/>
      <c r="G12" s="50"/>
      <c r="H12" s="49">
        <v>125000</v>
      </c>
      <c r="I12" s="49">
        <v>0</v>
      </c>
      <c r="J12" s="49">
        <v>0</v>
      </c>
      <c r="K12" s="50">
        <f t="shared" si="6"/>
        <v>125000</v>
      </c>
      <c r="L12" s="49">
        <v>0</v>
      </c>
      <c r="M12" s="49">
        <v>0</v>
      </c>
      <c r="N12" s="49">
        <v>500000</v>
      </c>
      <c r="O12" s="50">
        <f t="shared" si="8"/>
        <v>500000</v>
      </c>
      <c r="P12" s="49">
        <v>0</v>
      </c>
      <c r="Q12" s="49">
        <v>0</v>
      </c>
      <c r="R12" s="49">
        <v>10000</v>
      </c>
      <c r="S12" s="50">
        <f t="shared" si="10"/>
        <v>10000</v>
      </c>
      <c r="T12" s="49">
        <v>0</v>
      </c>
      <c r="U12" s="49">
        <v>0</v>
      </c>
      <c r="V12" s="49">
        <v>500000</v>
      </c>
      <c r="W12" s="50">
        <f t="shared" si="12"/>
        <v>500000</v>
      </c>
      <c r="X12" s="40"/>
      <c r="Y12" s="42">
        <f t="shared" si="13"/>
        <v>1135000</v>
      </c>
    </row>
    <row r="13" spans="1:25" ht="13" x14ac:dyDescent="0.3">
      <c r="A13" s="41"/>
      <c r="B13" s="41" t="s">
        <v>8</v>
      </c>
      <c r="C13" s="40"/>
      <c r="D13" s="49"/>
      <c r="E13" s="50"/>
      <c r="F13" s="50"/>
      <c r="G13" s="50"/>
      <c r="H13" s="49">
        <v>0</v>
      </c>
      <c r="I13" s="49"/>
      <c r="J13" s="49"/>
      <c r="K13" s="50">
        <f t="shared" si="6"/>
        <v>0</v>
      </c>
      <c r="L13" s="49"/>
      <c r="M13" s="49"/>
      <c r="N13" s="49"/>
      <c r="O13" s="50">
        <f t="shared" si="8"/>
        <v>0</v>
      </c>
      <c r="P13" s="49"/>
      <c r="Q13" s="49"/>
      <c r="R13" s="49"/>
      <c r="S13" s="50">
        <f t="shared" si="10"/>
        <v>0</v>
      </c>
      <c r="T13" s="49"/>
      <c r="U13" s="49"/>
      <c r="V13" s="49"/>
      <c r="W13" s="50">
        <f t="shared" si="12"/>
        <v>0</v>
      </c>
      <c r="X13" s="40"/>
      <c r="Y13" s="42">
        <f t="shared" si="13"/>
        <v>0</v>
      </c>
    </row>
    <row r="14" spans="1:25" ht="13" x14ac:dyDescent="0.3">
      <c r="A14" s="41"/>
      <c r="B14" s="41" t="s">
        <v>155</v>
      </c>
      <c r="C14" s="40"/>
      <c r="D14" s="100">
        <v>1081000</v>
      </c>
      <c r="E14" s="50"/>
      <c r="F14" s="50"/>
      <c r="G14" s="50"/>
      <c r="H14" s="49">
        <f>1108000/12</f>
        <v>92333.333333333328</v>
      </c>
      <c r="I14" s="49">
        <f t="shared" ref="I14:V14" si="24">1108000/12</f>
        <v>92333.333333333328</v>
      </c>
      <c r="J14" s="49">
        <f t="shared" si="24"/>
        <v>92333.333333333328</v>
      </c>
      <c r="K14" s="50">
        <f t="shared" si="6"/>
        <v>277000</v>
      </c>
      <c r="L14" s="49">
        <f t="shared" si="24"/>
        <v>92333.333333333328</v>
      </c>
      <c r="M14" s="49">
        <f t="shared" si="24"/>
        <v>92333.333333333328</v>
      </c>
      <c r="N14" s="49">
        <f t="shared" si="24"/>
        <v>92333.333333333328</v>
      </c>
      <c r="O14" s="50">
        <f t="shared" si="8"/>
        <v>277000</v>
      </c>
      <c r="P14" s="49">
        <f t="shared" si="24"/>
        <v>92333.333333333328</v>
      </c>
      <c r="Q14" s="49">
        <f t="shared" si="24"/>
        <v>92333.333333333328</v>
      </c>
      <c r="R14" s="49">
        <f t="shared" si="24"/>
        <v>92333.333333333328</v>
      </c>
      <c r="S14" s="50">
        <f t="shared" si="10"/>
        <v>277000</v>
      </c>
      <c r="T14" s="49">
        <f t="shared" si="24"/>
        <v>92333.333333333328</v>
      </c>
      <c r="U14" s="49">
        <f t="shared" si="24"/>
        <v>92333.333333333328</v>
      </c>
      <c r="V14" s="49">
        <f t="shared" si="24"/>
        <v>92333.333333333328</v>
      </c>
      <c r="W14" s="50">
        <f t="shared" si="12"/>
        <v>277000</v>
      </c>
      <c r="X14" s="40"/>
      <c r="Y14" s="42">
        <f t="shared" si="13"/>
        <v>1108000</v>
      </c>
    </row>
    <row r="15" spans="1:25" ht="13" x14ac:dyDescent="0.3">
      <c r="A15" s="41"/>
      <c r="B15" s="41" t="s">
        <v>9</v>
      </c>
      <c r="C15" s="40"/>
      <c r="D15" s="49">
        <f>58913.11-30624.94</f>
        <v>28288.170000000002</v>
      </c>
      <c r="E15" s="50"/>
      <c r="F15" s="50"/>
      <c r="G15" s="50"/>
      <c r="H15" s="49">
        <f>45500/12</f>
        <v>3791.6666666666665</v>
      </c>
      <c r="I15" s="49">
        <f t="shared" ref="I15:J15" si="25">45500/12</f>
        <v>3791.6666666666665</v>
      </c>
      <c r="J15" s="49">
        <f t="shared" si="25"/>
        <v>3791.6666666666665</v>
      </c>
      <c r="K15" s="50">
        <f t="shared" si="6"/>
        <v>11375</v>
      </c>
      <c r="L15" s="49">
        <f t="shared" ref="L15:N15" si="26">45500/12</f>
        <v>3791.6666666666665</v>
      </c>
      <c r="M15" s="49">
        <f t="shared" si="26"/>
        <v>3791.6666666666665</v>
      </c>
      <c r="N15" s="49">
        <f t="shared" si="26"/>
        <v>3791.6666666666665</v>
      </c>
      <c r="O15" s="50">
        <f t="shared" si="8"/>
        <v>11375</v>
      </c>
      <c r="P15" s="49">
        <f t="shared" ref="P15:R15" si="27">45500/12</f>
        <v>3791.6666666666665</v>
      </c>
      <c r="Q15" s="49">
        <f t="shared" si="27"/>
        <v>3791.6666666666665</v>
      </c>
      <c r="R15" s="49">
        <f t="shared" si="27"/>
        <v>3791.6666666666665</v>
      </c>
      <c r="S15" s="50">
        <f t="shared" si="10"/>
        <v>11375</v>
      </c>
      <c r="T15" s="49">
        <f t="shared" ref="T15:V15" si="28">45500/12</f>
        <v>3791.6666666666665</v>
      </c>
      <c r="U15" s="49">
        <f t="shared" si="28"/>
        <v>3791.6666666666665</v>
      </c>
      <c r="V15" s="49">
        <f t="shared" si="28"/>
        <v>3791.6666666666665</v>
      </c>
      <c r="W15" s="50">
        <f t="shared" si="12"/>
        <v>11375</v>
      </c>
      <c r="X15" s="40"/>
      <c r="Y15" s="43">
        <f t="shared" si="13"/>
        <v>45500</v>
      </c>
    </row>
    <row r="16" spans="1:25" ht="13" x14ac:dyDescent="0.3">
      <c r="A16" s="41"/>
      <c r="B16" s="51" t="s">
        <v>10</v>
      </c>
      <c r="C16" s="40"/>
      <c r="D16" s="109">
        <f>SUM(D7:D15)</f>
        <v>7475439</v>
      </c>
      <c r="E16" s="110"/>
      <c r="F16" s="110"/>
      <c r="G16" s="110"/>
      <c r="H16" s="109">
        <f>SUM(H7:H15)</f>
        <v>668123.66666666663</v>
      </c>
      <c r="I16" s="109">
        <f t="shared" ref="I16:J16" si="29">SUM(I7:I15)</f>
        <v>543123.66666666663</v>
      </c>
      <c r="J16" s="109">
        <f t="shared" si="29"/>
        <v>552784.93333333323</v>
      </c>
      <c r="K16" s="109">
        <f>SUM(H16:J16)</f>
        <v>1764032.2666666666</v>
      </c>
      <c r="L16" s="109">
        <f>SUM(L7:L15)</f>
        <v>536914.28333333321</v>
      </c>
      <c r="M16" s="109">
        <f t="shared" ref="M16:N16" si="30">SUM(M7:M15)</f>
        <v>536914.28333333321</v>
      </c>
      <c r="N16" s="109">
        <f t="shared" si="30"/>
        <v>1052784.9333333333</v>
      </c>
      <c r="O16" s="109">
        <f>SUM(L16:N16)</f>
        <v>2126613.5</v>
      </c>
      <c r="P16" s="109">
        <f>SUM(P7:P15)</f>
        <v>552784.93333333323</v>
      </c>
      <c r="Q16" s="109">
        <f t="shared" ref="Q16:R16" si="31">SUM(Q7:Q15)</f>
        <v>578316.84999999986</v>
      </c>
      <c r="R16" s="109">
        <f t="shared" si="31"/>
        <v>588316.84999999986</v>
      </c>
      <c r="S16" s="109">
        <f>SUM(P16:R16)</f>
        <v>1719418.6333333331</v>
      </c>
      <c r="T16" s="109">
        <f>SUM(T7:T15)</f>
        <v>552784.93333333323</v>
      </c>
      <c r="U16" s="109">
        <f t="shared" ref="U16:V16" si="32">SUM(U7:U15)</f>
        <v>552784.93333333323</v>
      </c>
      <c r="V16" s="109">
        <f t="shared" si="32"/>
        <v>1052784.9333333333</v>
      </c>
      <c r="W16" s="109">
        <f>SUM(T16:V16)</f>
        <v>2158354.7999999998</v>
      </c>
      <c r="X16" s="111"/>
      <c r="Y16" s="120">
        <f>SUM(K16,O16,S16,W16)</f>
        <v>7768419.1999999993</v>
      </c>
    </row>
    <row r="17" spans="1:25" ht="13" x14ac:dyDescent="0.3">
      <c r="A17" s="41"/>
      <c r="B17" s="54"/>
      <c r="C17" s="40"/>
      <c r="D17" s="55"/>
      <c r="E17" s="56"/>
      <c r="F17" s="56"/>
      <c r="G17" s="5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40"/>
    </row>
    <row r="18" spans="1:25" ht="13" x14ac:dyDescent="0.3">
      <c r="A18" s="57" t="s">
        <v>159</v>
      </c>
      <c r="B18" s="2"/>
      <c r="C18" s="40"/>
      <c r="D18" s="114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40"/>
    </row>
    <row r="19" spans="1:25" ht="13.5" x14ac:dyDescent="0.35">
      <c r="A19" s="59" t="s">
        <v>11</v>
      </c>
      <c r="B19" s="2"/>
      <c r="C19" s="40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0"/>
    </row>
    <row r="20" spans="1:25" ht="13" x14ac:dyDescent="0.3">
      <c r="A20" s="41"/>
      <c r="B20" s="2" t="s">
        <v>12</v>
      </c>
      <c r="C20" s="40"/>
      <c r="D20" s="60"/>
      <c r="E20" s="61"/>
      <c r="F20" s="60"/>
      <c r="G20" s="61"/>
      <c r="H20" s="60">
        <f>145000/12</f>
        <v>12083.333333333334</v>
      </c>
      <c r="I20" s="60">
        <f>145000/12</f>
        <v>12083.333333333334</v>
      </c>
      <c r="J20" s="60">
        <f>145000/12</f>
        <v>12083.333333333334</v>
      </c>
      <c r="K20" s="62">
        <f t="shared" ref="K20:K26" si="33">SUM(H20:J20)</f>
        <v>36250</v>
      </c>
      <c r="L20" s="60">
        <f>145000/12</f>
        <v>12083.333333333334</v>
      </c>
      <c r="M20" s="60">
        <f>145000/12</f>
        <v>12083.333333333334</v>
      </c>
      <c r="N20" s="60">
        <f>145000/12</f>
        <v>12083.333333333334</v>
      </c>
      <c r="O20" s="62">
        <f t="shared" ref="O20:O26" si="34">SUM(L20:N20)</f>
        <v>36250</v>
      </c>
      <c r="P20" s="60">
        <f>145000/12</f>
        <v>12083.333333333334</v>
      </c>
      <c r="Q20" s="60">
        <f>145000/12</f>
        <v>12083.333333333334</v>
      </c>
      <c r="R20" s="60">
        <f>145000/12</f>
        <v>12083.333333333334</v>
      </c>
      <c r="S20" s="62">
        <f t="shared" ref="S20:S26" si="35">SUM(P20:R20)</f>
        <v>36250</v>
      </c>
      <c r="T20" s="60">
        <f>145000/12</f>
        <v>12083.333333333334</v>
      </c>
      <c r="U20" s="60">
        <f>145000/12</f>
        <v>12083.333333333334</v>
      </c>
      <c r="V20" s="60">
        <f>145000/12</f>
        <v>12083.333333333334</v>
      </c>
      <c r="W20" s="62">
        <f t="shared" ref="W20:W27" si="36">SUM(T20:V20)</f>
        <v>36250</v>
      </c>
      <c r="X20" s="40"/>
      <c r="Y20" s="42">
        <f t="shared" ref="Y20:Y27" si="37">SUM(K20,O20,S20,W20)</f>
        <v>145000</v>
      </c>
    </row>
    <row r="21" spans="1:25" ht="13" x14ac:dyDescent="0.3">
      <c r="A21" s="41"/>
      <c r="B21" s="2" t="s">
        <v>13</v>
      </c>
      <c r="C21" s="40"/>
      <c r="D21" s="60">
        <f>3111000.52+80700+21930+18663.95+49284.21+10000+28166.07+137307.55+2520</f>
        <v>3459572.3</v>
      </c>
      <c r="E21" s="61"/>
      <c r="F21" s="60">
        <v>59</v>
      </c>
      <c r="G21" s="61"/>
      <c r="H21" s="60">
        <f>1600000/12</f>
        <v>133333.33333333334</v>
      </c>
      <c r="I21" s="60">
        <f t="shared" ref="I21:R21" si="38">1600000/12</f>
        <v>133333.33333333334</v>
      </c>
      <c r="J21" s="60">
        <f t="shared" si="38"/>
        <v>133333.33333333334</v>
      </c>
      <c r="K21" s="62">
        <f t="shared" si="33"/>
        <v>400000</v>
      </c>
      <c r="L21" s="60">
        <f t="shared" si="38"/>
        <v>133333.33333333334</v>
      </c>
      <c r="M21" s="60">
        <f t="shared" si="38"/>
        <v>133333.33333333334</v>
      </c>
      <c r="N21" s="60">
        <f t="shared" si="38"/>
        <v>133333.33333333334</v>
      </c>
      <c r="O21" s="62">
        <f t="shared" si="34"/>
        <v>400000</v>
      </c>
      <c r="P21" s="60">
        <f t="shared" si="38"/>
        <v>133333.33333333334</v>
      </c>
      <c r="Q21" s="60">
        <f t="shared" si="38"/>
        <v>133333.33333333334</v>
      </c>
      <c r="R21" s="60">
        <f t="shared" si="38"/>
        <v>133333.33333333334</v>
      </c>
      <c r="S21" s="62">
        <f t="shared" si="35"/>
        <v>400000</v>
      </c>
      <c r="T21" s="60">
        <f t="shared" ref="T21:V21" si="39">1600000/12</f>
        <v>133333.33333333334</v>
      </c>
      <c r="U21" s="60">
        <f t="shared" si="39"/>
        <v>133333.33333333334</v>
      </c>
      <c r="V21" s="60">
        <f t="shared" si="39"/>
        <v>133333.33333333334</v>
      </c>
      <c r="W21" s="62">
        <f t="shared" si="36"/>
        <v>400000</v>
      </c>
      <c r="X21" s="40"/>
      <c r="Y21" s="42">
        <f t="shared" si="37"/>
        <v>1600000</v>
      </c>
    </row>
    <row r="22" spans="1:25" ht="13" x14ac:dyDescent="0.3">
      <c r="A22" s="41"/>
      <c r="B22" s="2" t="s">
        <v>14</v>
      </c>
      <c r="C22" s="40"/>
      <c r="D22" s="60"/>
      <c r="E22" s="61"/>
      <c r="F22" s="60"/>
      <c r="G22" s="61"/>
      <c r="H22" s="60">
        <f>464322.96/12</f>
        <v>38693.58</v>
      </c>
      <c r="I22" s="60">
        <f t="shared" ref="I22:V22" si="40">464322.96/12</f>
        <v>38693.58</v>
      </c>
      <c r="J22" s="60">
        <f t="shared" si="40"/>
        <v>38693.58</v>
      </c>
      <c r="K22" s="62">
        <f t="shared" si="33"/>
        <v>116080.74</v>
      </c>
      <c r="L22" s="60">
        <f t="shared" si="40"/>
        <v>38693.58</v>
      </c>
      <c r="M22" s="60">
        <f t="shared" si="40"/>
        <v>38693.58</v>
      </c>
      <c r="N22" s="60">
        <f t="shared" si="40"/>
        <v>38693.58</v>
      </c>
      <c r="O22" s="62">
        <f t="shared" si="34"/>
        <v>116080.74</v>
      </c>
      <c r="P22" s="60">
        <f t="shared" si="40"/>
        <v>38693.58</v>
      </c>
      <c r="Q22" s="60">
        <f t="shared" si="40"/>
        <v>38693.58</v>
      </c>
      <c r="R22" s="60">
        <f t="shared" si="40"/>
        <v>38693.58</v>
      </c>
      <c r="S22" s="62">
        <f t="shared" si="35"/>
        <v>116080.74</v>
      </c>
      <c r="T22" s="60">
        <f t="shared" si="40"/>
        <v>38693.58</v>
      </c>
      <c r="U22" s="60">
        <f t="shared" si="40"/>
        <v>38693.58</v>
      </c>
      <c r="V22" s="60">
        <f t="shared" si="40"/>
        <v>38693.58</v>
      </c>
      <c r="W22" s="62">
        <f t="shared" si="36"/>
        <v>116080.74</v>
      </c>
      <c r="X22" s="40"/>
      <c r="Y22" s="42">
        <f t="shared" si="37"/>
        <v>464322.96</v>
      </c>
    </row>
    <row r="23" spans="1:25" ht="13" x14ac:dyDescent="0.3">
      <c r="A23" s="41"/>
      <c r="B23" s="2" t="s">
        <v>15</v>
      </c>
      <c r="C23" s="40"/>
      <c r="D23" s="60"/>
      <c r="E23" s="61"/>
      <c r="F23" s="60"/>
      <c r="G23" s="61"/>
      <c r="H23" s="60">
        <f>1025000/12</f>
        <v>85416.666666666672</v>
      </c>
      <c r="I23" s="60">
        <f t="shared" ref="I23:J23" si="41">1025000/12</f>
        <v>85416.666666666672</v>
      </c>
      <c r="J23" s="60">
        <f t="shared" si="41"/>
        <v>85416.666666666672</v>
      </c>
      <c r="K23" s="62">
        <f t="shared" si="33"/>
        <v>256250</v>
      </c>
      <c r="L23" s="60">
        <f>1025000/12</f>
        <v>85416.666666666672</v>
      </c>
      <c r="M23" s="60">
        <f t="shared" ref="M23:N23" si="42">1025000/12</f>
        <v>85416.666666666672</v>
      </c>
      <c r="N23" s="60">
        <f t="shared" si="42"/>
        <v>85416.666666666672</v>
      </c>
      <c r="O23" s="62">
        <f t="shared" si="34"/>
        <v>256250</v>
      </c>
      <c r="P23" s="60">
        <f>1025000/12</f>
        <v>85416.666666666672</v>
      </c>
      <c r="Q23" s="60">
        <f t="shared" ref="Q23:R23" si="43">1025000/12</f>
        <v>85416.666666666672</v>
      </c>
      <c r="R23" s="60">
        <f t="shared" si="43"/>
        <v>85416.666666666672</v>
      </c>
      <c r="S23" s="62">
        <f t="shared" si="35"/>
        <v>256250</v>
      </c>
      <c r="T23" s="60">
        <f>1025000/12</f>
        <v>85416.666666666672</v>
      </c>
      <c r="U23" s="60">
        <f t="shared" ref="U23:V23" si="44">1025000/12</f>
        <v>85416.666666666672</v>
      </c>
      <c r="V23" s="60">
        <f t="shared" si="44"/>
        <v>85416.666666666672</v>
      </c>
      <c r="W23" s="62">
        <f t="shared" si="36"/>
        <v>256250</v>
      </c>
      <c r="X23" s="40"/>
      <c r="Y23" s="42">
        <f t="shared" si="37"/>
        <v>1025000</v>
      </c>
    </row>
    <row r="24" spans="1:25" ht="13" x14ac:dyDescent="0.3">
      <c r="A24" s="41"/>
      <c r="B24" s="2" t="s">
        <v>16</v>
      </c>
      <c r="C24" s="40"/>
      <c r="D24" s="60"/>
      <c r="E24" s="61"/>
      <c r="F24" s="60"/>
      <c r="G24" s="61"/>
      <c r="H24" s="60">
        <f>307263.01/12</f>
        <v>25605.250833333335</v>
      </c>
      <c r="I24" s="60">
        <f t="shared" ref="I24:J24" si="45">307263.01/12</f>
        <v>25605.250833333335</v>
      </c>
      <c r="J24" s="60">
        <f t="shared" si="45"/>
        <v>25605.250833333335</v>
      </c>
      <c r="K24" s="62">
        <f t="shared" si="33"/>
        <v>76815.752500000002</v>
      </c>
      <c r="L24" s="60">
        <f>307263.01/12</f>
        <v>25605.250833333335</v>
      </c>
      <c r="M24" s="60">
        <f t="shared" ref="M24:N24" si="46">307263.01/12</f>
        <v>25605.250833333335</v>
      </c>
      <c r="N24" s="60">
        <f t="shared" si="46"/>
        <v>25605.250833333335</v>
      </c>
      <c r="O24" s="62">
        <f t="shared" si="34"/>
        <v>76815.752500000002</v>
      </c>
      <c r="P24" s="60">
        <f>307263.01/12</f>
        <v>25605.250833333335</v>
      </c>
      <c r="Q24" s="60">
        <f t="shared" ref="Q24:R24" si="47">307263.01/12</f>
        <v>25605.250833333335</v>
      </c>
      <c r="R24" s="60">
        <f t="shared" si="47"/>
        <v>25605.250833333335</v>
      </c>
      <c r="S24" s="62">
        <f t="shared" si="35"/>
        <v>76815.752500000002</v>
      </c>
      <c r="T24" s="60">
        <f>307263.01/12</f>
        <v>25605.250833333335</v>
      </c>
      <c r="U24" s="60">
        <f t="shared" ref="U24:V24" si="48">307263.01/12</f>
        <v>25605.250833333335</v>
      </c>
      <c r="V24" s="60">
        <f t="shared" si="48"/>
        <v>25605.250833333335</v>
      </c>
      <c r="W24" s="62">
        <f t="shared" si="36"/>
        <v>76815.752500000002</v>
      </c>
      <c r="X24" s="40"/>
      <c r="Y24" s="42">
        <f t="shared" si="37"/>
        <v>307263.01</v>
      </c>
    </row>
    <row r="25" spans="1:25" ht="13" x14ac:dyDescent="0.3">
      <c r="A25" s="41"/>
      <c r="B25" s="2" t="s">
        <v>168</v>
      </c>
      <c r="C25" s="40"/>
      <c r="D25" s="60"/>
      <c r="E25" s="61"/>
      <c r="F25" s="60"/>
      <c r="G25" s="61"/>
      <c r="H25" s="60">
        <f>125490.21/12</f>
        <v>10457.5175</v>
      </c>
      <c r="I25" s="60">
        <f t="shared" ref="I25:J25" si="49">125490.21/12</f>
        <v>10457.5175</v>
      </c>
      <c r="J25" s="60">
        <f t="shared" si="49"/>
        <v>10457.5175</v>
      </c>
      <c r="K25" s="62">
        <f t="shared" si="33"/>
        <v>31372.552499999998</v>
      </c>
      <c r="L25" s="60">
        <f>125490.21/12</f>
        <v>10457.5175</v>
      </c>
      <c r="M25" s="60">
        <f t="shared" ref="M25:N25" si="50">125490.21/12</f>
        <v>10457.5175</v>
      </c>
      <c r="N25" s="60">
        <f t="shared" si="50"/>
        <v>10457.5175</v>
      </c>
      <c r="O25" s="62">
        <f t="shared" si="34"/>
        <v>31372.552499999998</v>
      </c>
      <c r="P25" s="60">
        <f>125490.21/12</f>
        <v>10457.5175</v>
      </c>
      <c r="Q25" s="60">
        <f t="shared" ref="Q25:R25" si="51">125490.21/12</f>
        <v>10457.5175</v>
      </c>
      <c r="R25" s="60">
        <f t="shared" si="51"/>
        <v>10457.5175</v>
      </c>
      <c r="S25" s="62">
        <f t="shared" si="35"/>
        <v>31372.552499999998</v>
      </c>
      <c r="T25" s="60">
        <f>125490.21/12</f>
        <v>10457.5175</v>
      </c>
      <c r="U25" s="60">
        <f t="shared" ref="U25:V25" si="52">125490.21/12</f>
        <v>10457.5175</v>
      </c>
      <c r="V25" s="60">
        <f t="shared" si="52"/>
        <v>10457.5175</v>
      </c>
      <c r="W25" s="62">
        <f t="shared" si="36"/>
        <v>31372.552499999998</v>
      </c>
      <c r="X25" s="40"/>
      <c r="Y25" s="42">
        <f t="shared" si="37"/>
        <v>125490.20999999999</v>
      </c>
    </row>
    <row r="26" spans="1:25" ht="13" x14ac:dyDescent="0.3">
      <c r="A26" s="41"/>
      <c r="B26" s="2" t="s">
        <v>169</v>
      </c>
      <c r="C26" s="40"/>
      <c r="D26" s="60">
        <f>662964.27+293960.25+78701.35</f>
        <v>1035625.87</v>
      </c>
      <c r="E26" s="61"/>
      <c r="F26" s="60"/>
      <c r="G26" s="61"/>
      <c r="H26" s="60">
        <f>1155006.76/12</f>
        <v>96250.563333333339</v>
      </c>
      <c r="I26" s="60">
        <f t="shared" ref="I26:J26" si="53">1155006.76/12</f>
        <v>96250.563333333339</v>
      </c>
      <c r="J26" s="60">
        <f t="shared" si="53"/>
        <v>96250.563333333339</v>
      </c>
      <c r="K26" s="62">
        <f t="shared" si="33"/>
        <v>288751.69</v>
      </c>
      <c r="L26" s="60">
        <f>1155006.76/12</f>
        <v>96250.563333333339</v>
      </c>
      <c r="M26" s="60">
        <f t="shared" ref="M26:N26" si="54">1155006.76/12</f>
        <v>96250.563333333339</v>
      </c>
      <c r="N26" s="60">
        <f t="shared" si="54"/>
        <v>96250.563333333339</v>
      </c>
      <c r="O26" s="62">
        <f t="shared" si="34"/>
        <v>288751.69</v>
      </c>
      <c r="P26" s="60">
        <f>1155006.76/12-7097.09</f>
        <v>89153.473333333342</v>
      </c>
      <c r="Q26" s="60">
        <f t="shared" ref="Q26:R26" si="55">1155006.76/12</f>
        <v>96250.563333333339</v>
      </c>
      <c r="R26" s="60">
        <f t="shared" si="55"/>
        <v>96250.563333333339</v>
      </c>
      <c r="S26" s="62">
        <f t="shared" si="35"/>
        <v>281654.60000000003</v>
      </c>
      <c r="T26" s="60">
        <f>1155006.76/12</f>
        <v>96250.563333333339</v>
      </c>
      <c r="U26" s="60">
        <f t="shared" ref="U26:V26" si="56">1155006.76/12</f>
        <v>96250.563333333339</v>
      </c>
      <c r="V26" s="60">
        <f t="shared" si="56"/>
        <v>96250.563333333339</v>
      </c>
      <c r="W26" s="62">
        <f t="shared" si="36"/>
        <v>288751.69</v>
      </c>
      <c r="X26" s="40"/>
      <c r="Y26" s="43">
        <f t="shared" si="37"/>
        <v>1147909.67</v>
      </c>
    </row>
    <row r="27" spans="1:25" ht="13" x14ac:dyDescent="0.3">
      <c r="A27" s="2"/>
      <c r="B27" s="51" t="s">
        <v>17</v>
      </c>
      <c r="C27" s="40"/>
      <c r="D27" s="109">
        <f>SUM(D20:D26)</f>
        <v>4495198.17</v>
      </c>
      <c r="E27" s="110"/>
      <c r="F27" s="109">
        <f>SUM(F20:F26)</f>
        <v>59</v>
      </c>
      <c r="G27" s="110"/>
      <c r="H27" s="109">
        <f>SUM(H20:H26)</f>
        <v>401840.24500000011</v>
      </c>
      <c r="I27" s="109">
        <f>SUM(I20:I26)</f>
        <v>401840.24500000011</v>
      </c>
      <c r="J27" s="109">
        <f>SUM(J20:J26)</f>
        <v>401840.24500000011</v>
      </c>
      <c r="K27" s="109">
        <f>SUM(H27:J27)</f>
        <v>1205520.7350000003</v>
      </c>
      <c r="L27" s="109">
        <f>SUM(L20:L26)</f>
        <v>401840.24500000011</v>
      </c>
      <c r="M27" s="109">
        <f>SUM(M20:M26)</f>
        <v>401840.24500000011</v>
      </c>
      <c r="N27" s="109">
        <f>SUM(N20:N26)</f>
        <v>401840.24500000011</v>
      </c>
      <c r="O27" s="109">
        <f>SUM(L27:N27)</f>
        <v>1205520.7350000003</v>
      </c>
      <c r="P27" s="109">
        <f>SUM(P20:P26)</f>
        <v>394743.15500000009</v>
      </c>
      <c r="Q27" s="109">
        <f>SUM(Q20:Q26)</f>
        <v>401840.24500000011</v>
      </c>
      <c r="R27" s="109">
        <f>SUM(R20:R26)</f>
        <v>401840.24500000011</v>
      </c>
      <c r="S27" s="109">
        <f>SUM(P27:R27)</f>
        <v>1198423.6450000003</v>
      </c>
      <c r="T27" s="109">
        <f>SUM(T20:T26)</f>
        <v>401840.24500000011</v>
      </c>
      <c r="U27" s="109">
        <f>SUM(U20:U26)</f>
        <v>401840.24500000011</v>
      </c>
      <c r="V27" s="109">
        <f>SUM(V20:V26)</f>
        <v>401840.24500000011</v>
      </c>
      <c r="W27" s="109">
        <f t="shared" si="36"/>
        <v>1205520.7350000003</v>
      </c>
      <c r="X27" s="111"/>
      <c r="Y27" s="120">
        <f t="shared" si="37"/>
        <v>4814985.8500000015</v>
      </c>
    </row>
    <row r="28" spans="1:25" ht="13" x14ac:dyDescent="0.3">
      <c r="A28" s="2"/>
      <c r="C28" s="40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40"/>
    </row>
    <row r="29" spans="1:25" ht="13.5" x14ac:dyDescent="0.35">
      <c r="A29" s="59" t="s">
        <v>18</v>
      </c>
      <c r="B29" s="2"/>
      <c r="C29" s="40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0"/>
    </row>
    <row r="30" spans="1:25" ht="13" x14ac:dyDescent="0.3">
      <c r="A30" s="41"/>
      <c r="B30" s="2" t="s">
        <v>170</v>
      </c>
      <c r="C30" s="40"/>
      <c r="D30" s="60">
        <f>477179.65-27777.84-18881.49</f>
        <v>430520.32000000001</v>
      </c>
      <c r="E30" s="61"/>
      <c r="F30" s="61"/>
      <c r="G30" s="61"/>
      <c r="H30" s="60">
        <f>141000/6</f>
        <v>23500</v>
      </c>
      <c r="I30" s="60">
        <f t="shared" ref="I30:J30" si="57">141000/6</f>
        <v>23500</v>
      </c>
      <c r="J30" s="60">
        <f t="shared" si="57"/>
        <v>23500</v>
      </c>
      <c r="K30" s="62">
        <f t="shared" ref="K30:K34" si="58">SUM(H30:J30)</f>
        <v>70500</v>
      </c>
      <c r="L30" s="60">
        <f>141000/12</f>
        <v>11750</v>
      </c>
      <c r="M30" s="60">
        <f>141000/12</f>
        <v>11750</v>
      </c>
      <c r="N30" s="60">
        <f>141000/12</f>
        <v>11750</v>
      </c>
      <c r="O30" s="62">
        <f t="shared" ref="O30:O34" si="59">SUM(L30:N30)</f>
        <v>35250</v>
      </c>
      <c r="P30" s="60">
        <f>141000/24</f>
        <v>5875</v>
      </c>
      <c r="Q30" s="60">
        <f t="shared" ref="Q30:R30" si="60">141000/24</f>
        <v>5875</v>
      </c>
      <c r="R30" s="60">
        <f t="shared" si="60"/>
        <v>5875</v>
      </c>
      <c r="S30" s="62">
        <f t="shared" ref="S30:S34" si="61">SUM(P30:R30)</f>
        <v>17625</v>
      </c>
      <c r="T30" s="60">
        <f>141000/24</f>
        <v>5875</v>
      </c>
      <c r="U30" s="60">
        <f t="shared" ref="U30:V30" si="62">141000/24</f>
        <v>5875</v>
      </c>
      <c r="V30" s="60">
        <f t="shared" si="62"/>
        <v>5875</v>
      </c>
      <c r="W30" s="62">
        <f t="shared" ref="W30:W35" si="63">SUM(T30:V30)</f>
        <v>17625</v>
      </c>
      <c r="X30" s="40"/>
      <c r="Y30" s="42">
        <f t="shared" ref="Y30:Y35" si="64">SUM(K30,O30,S30,W30)</f>
        <v>141000</v>
      </c>
    </row>
    <row r="31" spans="1:25" ht="13" x14ac:dyDescent="0.3">
      <c r="A31" s="41"/>
      <c r="B31" s="2" t="s">
        <v>171</v>
      </c>
      <c r="C31" s="40"/>
      <c r="D31" s="60"/>
      <c r="E31" s="61"/>
      <c r="F31" s="61"/>
      <c r="G31" s="61"/>
      <c r="H31" s="60"/>
      <c r="I31" s="60"/>
      <c r="J31" s="60"/>
      <c r="K31" s="62">
        <f t="shared" si="58"/>
        <v>0</v>
      </c>
      <c r="L31" s="60">
        <f>25000/3</f>
        <v>8333.3333333333339</v>
      </c>
      <c r="M31" s="60"/>
      <c r="N31" s="60"/>
      <c r="O31" s="62">
        <f t="shared" si="59"/>
        <v>8333.3333333333339</v>
      </c>
      <c r="P31" s="60">
        <f>25000/3</f>
        <v>8333.3333333333339</v>
      </c>
      <c r="Q31" s="60"/>
      <c r="R31" s="60"/>
      <c r="S31" s="62">
        <f t="shared" si="61"/>
        <v>8333.3333333333339</v>
      </c>
      <c r="T31" s="60">
        <f>25000/3</f>
        <v>8333.3333333333339</v>
      </c>
      <c r="U31" s="60"/>
      <c r="V31" s="60"/>
      <c r="W31" s="62">
        <f t="shared" si="63"/>
        <v>8333.3333333333339</v>
      </c>
      <c r="X31" s="40"/>
      <c r="Y31" s="42">
        <f t="shared" si="64"/>
        <v>25000</v>
      </c>
    </row>
    <row r="32" spans="1:25" ht="13" x14ac:dyDescent="0.3">
      <c r="A32" s="41"/>
      <c r="B32" s="2" t="s">
        <v>19</v>
      </c>
      <c r="C32" s="40"/>
      <c r="D32" s="60">
        <f>18881.49+27777.84</f>
        <v>46659.33</v>
      </c>
      <c r="E32" s="61"/>
      <c r="F32" s="61"/>
      <c r="G32" s="61"/>
      <c r="H32" s="60"/>
      <c r="I32" s="60">
        <f>145000/10</f>
        <v>14500</v>
      </c>
      <c r="J32" s="60">
        <f>145000/10</f>
        <v>14500</v>
      </c>
      <c r="K32" s="62">
        <f t="shared" si="58"/>
        <v>29000</v>
      </c>
      <c r="L32" s="60">
        <f t="shared" ref="L32:N32" si="65">145000/10</f>
        <v>14500</v>
      </c>
      <c r="M32" s="60">
        <f t="shared" si="65"/>
        <v>14500</v>
      </c>
      <c r="N32" s="60">
        <f t="shared" si="65"/>
        <v>14500</v>
      </c>
      <c r="O32" s="62">
        <f t="shared" si="59"/>
        <v>43500</v>
      </c>
      <c r="P32" s="60">
        <f t="shared" ref="P32:R32" si="66">145000/10</f>
        <v>14500</v>
      </c>
      <c r="Q32" s="60">
        <f t="shared" si="66"/>
        <v>14500</v>
      </c>
      <c r="R32" s="60">
        <f t="shared" si="66"/>
        <v>14500</v>
      </c>
      <c r="S32" s="62">
        <f t="shared" si="61"/>
        <v>43500</v>
      </c>
      <c r="T32" s="60">
        <f t="shared" ref="T32:U32" si="67">145000/10</f>
        <v>14500</v>
      </c>
      <c r="U32" s="60">
        <f t="shared" si="67"/>
        <v>14500</v>
      </c>
      <c r="V32" s="60"/>
      <c r="W32" s="62">
        <f t="shared" si="63"/>
        <v>29000</v>
      </c>
      <c r="X32" s="40"/>
      <c r="Y32" s="42">
        <f t="shared" si="64"/>
        <v>145000</v>
      </c>
    </row>
    <row r="33" spans="1:25" ht="13" x14ac:dyDescent="0.3">
      <c r="A33" s="41"/>
      <c r="B33" s="41" t="s">
        <v>32</v>
      </c>
      <c r="C33" s="40"/>
      <c r="D33" s="60">
        <f>18727.83+136680</f>
        <v>155407.83000000002</v>
      </c>
      <c r="E33" s="61"/>
      <c r="F33" s="61"/>
      <c r="G33" s="61"/>
      <c r="H33" s="60">
        <f>213598.88/20</f>
        <v>10679.944</v>
      </c>
      <c r="I33" s="60">
        <f t="shared" ref="H33:I33" si="68">213598.88/12</f>
        <v>17799.906666666666</v>
      </c>
      <c r="J33" s="60">
        <f>213598.88/12</f>
        <v>17799.906666666666</v>
      </c>
      <c r="K33" s="62">
        <f>SUM(H33:J33)</f>
        <v>46279.757333333328</v>
      </c>
      <c r="L33" s="60">
        <f>213598.88/10</f>
        <v>21359.887999999999</v>
      </c>
      <c r="M33" s="60">
        <f t="shared" ref="L33:N33" si="69">213598.88/12</f>
        <v>17799.906666666666</v>
      </c>
      <c r="N33" s="60">
        <f t="shared" si="69"/>
        <v>17799.906666666666</v>
      </c>
      <c r="O33" s="62">
        <f>SUM(L33:N33)</f>
        <v>56959.701333333331</v>
      </c>
      <c r="P33" s="60">
        <f t="shared" ref="P33:R33" si="70">213598.88/12</f>
        <v>17799.906666666666</v>
      </c>
      <c r="Q33" s="60">
        <f t="shared" si="70"/>
        <v>17799.906666666666</v>
      </c>
      <c r="R33" s="60">
        <f>213598.88/10</f>
        <v>21359.887999999999</v>
      </c>
      <c r="S33" s="62">
        <f>SUM(P33:R33)</f>
        <v>56959.701333333331</v>
      </c>
      <c r="T33" s="60">
        <f>213598.88/12</f>
        <v>17799.906666666666</v>
      </c>
      <c r="U33" s="60">
        <f>213598.88/10</f>
        <v>21359.887999999999</v>
      </c>
      <c r="V33" s="60">
        <f>213598.88/12-3559</f>
        <v>14240.906666666666</v>
      </c>
      <c r="W33" s="62">
        <f>SUM(T33:V33)</f>
        <v>53400.701333333331</v>
      </c>
      <c r="X33" s="40"/>
      <c r="Y33" s="42">
        <f>SUM(K33,O33,S33,W33)</f>
        <v>213599.86133333331</v>
      </c>
    </row>
    <row r="34" spans="1:25" ht="13" x14ac:dyDescent="0.3">
      <c r="A34" s="41"/>
      <c r="B34" s="2" t="s">
        <v>172</v>
      </c>
      <c r="C34" s="40"/>
      <c r="D34" s="60">
        <f>62205.15+45000</f>
        <v>107205.15</v>
      </c>
      <c r="E34" s="61"/>
      <c r="F34" s="61"/>
      <c r="G34" s="61"/>
      <c r="H34" s="60">
        <f>179500/12</f>
        <v>14958.333333333334</v>
      </c>
      <c r="I34" s="60">
        <f t="shared" ref="I34:J34" si="71">179500/12</f>
        <v>14958.333333333334</v>
      </c>
      <c r="J34" s="60">
        <f t="shared" si="71"/>
        <v>14958.333333333334</v>
      </c>
      <c r="K34" s="62">
        <f t="shared" si="58"/>
        <v>44875</v>
      </c>
      <c r="L34" s="60">
        <f>179500/12</f>
        <v>14958.333333333334</v>
      </c>
      <c r="M34" s="60">
        <f t="shared" ref="M34:N34" si="72">179500/12</f>
        <v>14958.333333333334</v>
      </c>
      <c r="N34" s="60">
        <f t="shared" si="72"/>
        <v>14958.333333333334</v>
      </c>
      <c r="O34" s="62">
        <f t="shared" si="59"/>
        <v>44875</v>
      </c>
      <c r="P34" s="60">
        <f>179500/12</f>
        <v>14958.333333333334</v>
      </c>
      <c r="Q34" s="60">
        <f t="shared" ref="Q34:R34" si="73">179500/12</f>
        <v>14958.333333333334</v>
      </c>
      <c r="R34" s="60">
        <f t="shared" si="73"/>
        <v>14958.333333333334</v>
      </c>
      <c r="S34" s="62">
        <f t="shared" si="61"/>
        <v>44875</v>
      </c>
      <c r="T34" s="60">
        <f>179500/12</f>
        <v>14958.333333333334</v>
      </c>
      <c r="U34" s="60">
        <f t="shared" ref="U34:V34" si="74">179500/12</f>
        <v>14958.333333333334</v>
      </c>
      <c r="V34" s="60">
        <f t="shared" si="74"/>
        <v>14958.333333333334</v>
      </c>
      <c r="W34" s="62">
        <f t="shared" si="63"/>
        <v>44875</v>
      </c>
      <c r="X34" s="40"/>
      <c r="Y34" s="43">
        <f t="shared" si="64"/>
        <v>179500</v>
      </c>
    </row>
    <row r="35" spans="1:25" ht="13" x14ac:dyDescent="0.3">
      <c r="A35" s="2"/>
      <c r="B35" s="51" t="s">
        <v>20</v>
      </c>
      <c r="C35" s="40"/>
      <c r="D35" s="52">
        <f>SUM(D30:D34)</f>
        <v>739792.63</v>
      </c>
      <c r="E35" s="53"/>
      <c r="F35" s="53"/>
      <c r="G35" s="53"/>
      <c r="H35" s="52">
        <f>SUM(H30:H34)</f>
        <v>49138.277333333339</v>
      </c>
      <c r="I35" s="52">
        <f>SUM(I30:I34)</f>
        <v>70758.239999999991</v>
      </c>
      <c r="J35" s="52">
        <f>SUM(J30:J34)</f>
        <v>70758.239999999991</v>
      </c>
      <c r="K35" s="52">
        <f>SUM(H35:J35)</f>
        <v>190654.75733333331</v>
      </c>
      <c r="L35" s="52">
        <f>SUM(L30:L34)</f>
        <v>70901.554666666663</v>
      </c>
      <c r="M35" s="52">
        <f>SUM(M30:M34)</f>
        <v>59008.24</v>
      </c>
      <c r="N35" s="52">
        <f>SUM(N30:N34)</f>
        <v>59008.24</v>
      </c>
      <c r="O35" s="52">
        <f>SUM(L35:N35)</f>
        <v>188918.03466666664</v>
      </c>
      <c r="P35" s="52">
        <f>SUM(P30:P34)</f>
        <v>61466.573333333341</v>
      </c>
      <c r="Q35" s="52">
        <f>SUM(Q30:Q34)</f>
        <v>53133.24</v>
      </c>
      <c r="R35" s="52">
        <f>SUM(R30:R34)</f>
        <v>56693.221333333335</v>
      </c>
      <c r="S35" s="52">
        <f>SUM(P35:R35)</f>
        <v>171293.03466666667</v>
      </c>
      <c r="T35" s="52">
        <f>SUM(T30:T34)</f>
        <v>61466.573333333341</v>
      </c>
      <c r="U35" s="52">
        <f>SUM(U30:U34)</f>
        <v>56693.221333333335</v>
      </c>
      <c r="V35" s="52">
        <f>SUM(V30:V34)</f>
        <v>35074.239999999998</v>
      </c>
      <c r="W35" s="52">
        <f t="shared" si="63"/>
        <v>153234.03466666667</v>
      </c>
      <c r="X35" s="40"/>
      <c r="Y35" s="42">
        <f t="shared" si="64"/>
        <v>704099.86133333331</v>
      </c>
    </row>
    <row r="36" spans="1:25" ht="13" x14ac:dyDescent="0.3">
      <c r="A36" s="48"/>
      <c r="B36" s="48"/>
      <c r="C36" s="40"/>
      <c r="D36" s="41"/>
      <c r="F36" s="2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0"/>
    </row>
    <row r="37" spans="1:25" ht="13.5" x14ac:dyDescent="0.35">
      <c r="A37" s="63" t="s">
        <v>21</v>
      </c>
      <c r="B37" s="41"/>
      <c r="C37" s="40"/>
      <c r="D37" s="62"/>
      <c r="E37" s="61"/>
      <c r="F37" s="61"/>
      <c r="G37" s="61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40"/>
    </row>
    <row r="38" spans="1:25" ht="13" x14ac:dyDescent="0.3">
      <c r="A38" s="41"/>
      <c r="B38" s="41" t="s">
        <v>22</v>
      </c>
      <c r="C38" s="40"/>
      <c r="D38" s="60">
        <v>1008000</v>
      </c>
      <c r="E38" s="61"/>
      <c r="F38" s="61"/>
      <c r="G38" s="61"/>
      <c r="H38" s="60">
        <f>1008000/12</f>
        <v>84000</v>
      </c>
      <c r="I38" s="60">
        <f t="shared" ref="I38:J38" si="75">1008000/12</f>
        <v>84000</v>
      </c>
      <c r="J38" s="60">
        <f t="shared" si="75"/>
        <v>84000</v>
      </c>
      <c r="K38" s="62">
        <f t="shared" ref="K38:K43" si="76">SUM(H38:J38)</f>
        <v>252000</v>
      </c>
      <c r="L38" s="60">
        <f t="shared" ref="L38:N38" si="77">1008000/12</f>
        <v>84000</v>
      </c>
      <c r="M38" s="60">
        <f t="shared" si="77"/>
        <v>84000</v>
      </c>
      <c r="N38" s="60">
        <f t="shared" si="77"/>
        <v>84000</v>
      </c>
      <c r="O38" s="62">
        <f t="shared" ref="O38:O43" si="78">SUM(L38:N38)</f>
        <v>252000</v>
      </c>
      <c r="P38" s="60">
        <f t="shared" ref="P38:R38" si="79">1008000/12</f>
        <v>84000</v>
      </c>
      <c r="Q38" s="60">
        <f t="shared" si="79"/>
        <v>84000</v>
      </c>
      <c r="R38" s="60">
        <f t="shared" si="79"/>
        <v>84000</v>
      </c>
      <c r="S38" s="62">
        <f t="shared" ref="S38:S43" si="80">SUM(P38:R38)</f>
        <v>252000</v>
      </c>
      <c r="T38" s="60">
        <f t="shared" ref="T38:V38" si="81">1008000/12</f>
        <v>84000</v>
      </c>
      <c r="U38" s="60">
        <f t="shared" si="81"/>
        <v>84000</v>
      </c>
      <c r="V38" s="60">
        <f t="shared" si="81"/>
        <v>84000</v>
      </c>
      <c r="W38" s="62">
        <f t="shared" ref="W38:W44" si="82">SUM(T38:V38)</f>
        <v>252000</v>
      </c>
      <c r="X38" s="40"/>
      <c r="Y38" s="42">
        <f t="shared" ref="Y38:Y44" si="83">SUM(K38,O38,S38,W38)</f>
        <v>1008000</v>
      </c>
    </row>
    <row r="39" spans="1:25" ht="13" x14ac:dyDescent="0.3">
      <c r="A39" s="41"/>
      <c r="B39" s="41" t="s">
        <v>156</v>
      </c>
      <c r="C39" s="40"/>
      <c r="D39" s="99">
        <v>0</v>
      </c>
      <c r="E39" s="61"/>
      <c r="F39" s="61"/>
      <c r="G39" s="61"/>
      <c r="H39" s="99">
        <v>0</v>
      </c>
      <c r="I39" s="99">
        <v>0</v>
      </c>
      <c r="J39" s="99">
        <v>0</v>
      </c>
      <c r="K39" s="62">
        <f t="shared" si="76"/>
        <v>0</v>
      </c>
      <c r="L39" s="99">
        <v>0</v>
      </c>
      <c r="M39" s="99">
        <v>0</v>
      </c>
      <c r="N39" s="99">
        <v>0</v>
      </c>
      <c r="O39" s="62">
        <f t="shared" si="78"/>
        <v>0</v>
      </c>
      <c r="P39" s="99">
        <v>0</v>
      </c>
      <c r="Q39" s="99">
        <v>0</v>
      </c>
      <c r="R39" s="99">
        <v>0</v>
      </c>
      <c r="S39" s="62">
        <f t="shared" si="80"/>
        <v>0</v>
      </c>
      <c r="T39" s="99">
        <v>0</v>
      </c>
      <c r="U39" s="99">
        <v>0</v>
      </c>
      <c r="V39" s="99">
        <v>0</v>
      </c>
      <c r="W39" s="62">
        <f t="shared" si="82"/>
        <v>0</v>
      </c>
      <c r="X39" s="40"/>
      <c r="Y39" s="42">
        <f t="shared" si="83"/>
        <v>0</v>
      </c>
    </row>
    <row r="40" spans="1:25" ht="13" x14ac:dyDescent="0.3">
      <c r="A40" s="41"/>
      <c r="B40" s="41" t="s">
        <v>157</v>
      </c>
      <c r="C40" s="40"/>
      <c r="D40" s="99">
        <v>0</v>
      </c>
      <c r="E40" s="61"/>
      <c r="F40" s="61"/>
      <c r="G40" s="61"/>
      <c r="H40" s="99">
        <v>0</v>
      </c>
      <c r="I40" s="99">
        <v>0</v>
      </c>
      <c r="J40" s="99">
        <v>0</v>
      </c>
      <c r="K40" s="62">
        <f t="shared" si="76"/>
        <v>0</v>
      </c>
      <c r="L40" s="99">
        <v>0</v>
      </c>
      <c r="M40" s="99">
        <v>0</v>
      </c>
      <c r="N40" s="99">
        <v>0</v>
      </c>
      <c r="O40" s="62">
        <f t="shared" si="78"/>
        <v>0</v>
      </c>
      <c r="P40" s="99">
        <v>0</v>
      </c>
      <c r="Q40" s="99">
        <v>0</v>
      </c>
      <c r="R40" s="99">
        <v>0</v>
      </c>
      <c r="S40" s="62">
        <f t="shared" si="80"/>
        <v>0</v>
      </c>
      <c r="T40" s="99">
        <v>0</v>
      </c>
      <c r="U40" s="99">
        <v>0</v>
      </c>
      <c r="V40" s="99">
        <v>0</v>
      </c>
      <c r="W40" s="62">
        <f t="shared" si="82"/>
        <v>0</v>
      </c>
      <c r="X40" s="40"/>
      <c r="Y40" s="42">
        <f t="shared" si="83"/>
        <v>0</v>
      </c>
    </row>
    <row r="41" spans="1:25" ht="13" x14ac:dyDescent="0.3">
      <c r="A41" s="41"/>
      <c r="B41" s="41" t="s">
        <v>23</v>
      </c>
      <c r="C41" s="40"/>
      <c r="D41" s="60">
        <v>36158.769999999997</v>
      </c>
      <c r="E41" s="61"/>
      <c r="F41" s="61"/>
      <c r="G41" s="61"/>
      <c r="H41" s="60">
        <f>50000/6</f>
        <v>8333.3333333333339</v>
      </c>
      <c r="I41" s="60">
        <f t="shared" ref="I41:J41" si="84">50000/6</f>
        <v>8333.3333333333339</v>
      </c>
      <c r="J41" s="60">
        <f t="shared" si="84"/>
        <v>8333.3333333333339</v>
      </c>
      <c r="K41" s="62">
        <f t="shared" si="76"/>
        <v>25000</v>
      </c>
      <c r="L41" s="60"/>
      <c r="M41" s="60"/>
      <c r="N41" s="60">
        <f>50000/6</f>
        <v>8333.3333333333339</v>
      </c>
      <c r="O41" s="62">
        <f t="shared" si="78"/>
        <v>8333.3333333333339</v>
      </c>
      <c r="P41" s="60"/>
      <c r="Q41" s="60"/>
      <c r="R41" s="60">
        <f t="shared" ref="P41:R41" si="85">50000/12</f>
        <v>4166.666666666667</v>
      </c>
      <c r="S41" s="62">
        <f t="shared" si="80"/>
        <v>4166.666666666667</v>
      </c>
      <c r="T41" s="60">
        <f>50000/6</f>
        <v>8333.3333333333339</v>
      </c>
      <c r="U41" s="60"/>
      <c r="V41" s="60">
        <f t="shared" ref="T41:V41" si="86">50000/12</f>
        <v>4166.666666666667</v>
      </c>
      <c r="W41" s="62">
        <f t="shared" si="82"/>
        <v>12500</v>
      </c>
      <c r="X41" s="40"/>
      <c r="Y41" s="42">
        <f t="shared" si="83"/>
        <v>50000</v>
      </c>
    </row>
    <row r="42" spans="1:25" ht="13" x14ac:dyDescent="0.3">
      <c r="A42" s="41"/>
      <c r="B42" s="41" t="s">
        <v>24</v>
      </c>
      <c r="C42" s="40"/>
      <c r="D42" s="60">
        <v>15884</v>
      </c>
      <c r="E42" s="61"/>
      <c r="F42" s="61"/>
      <c r="G42" s="61"/>
      <c r="H42" s="60">
        <f>130000/12</f>
        <v>10833.333333333334</v>
      </c>
      <c r="I42" s="60">
        <f t="shared" ref="I42:J42" si="87">130000/12</f>
        <v>10833.333333333334</v>
      </c>
      <c r="J42" s="60">
        <f t="shared" si="87"/>
        <v>10833.333333333334</v>
      </c>
      <c r="K42" s="62">
        <f t="shared" si="76"/>
        <v>32500</v>
      </c>
      <c r="L42" s="60">
        <f t="shared" ref="L42:N42" si="88">130000/12</f>
        <v>10833.333333333334</v>
      </c>
      <c r="M42" s="60">
        <f t="shared" si="88"/>
        <v>10833.333333333334</v>
      </c>
      <c r="N42" s="60">
        <f t="shared" si="88"/>
        <v>10833.333333333334</v>
      </c>
      <c r="O42" s="62">
        <f t="shared" si="78"/>
        <v>32500</v>
      </c>
      <c r="P42" s="60">
        <f t="shared" ref="P42:Q42" si="89">130000/12</f>
        <v>10833.333333333334</v>
      </c>
      <c r="Q42" s="60">
        <f t="shared" si="89"/>
        <v>10833.333333333334</v>
      </c>
      <c r="R42" s="60">
        <f>130000/12</f>
        <v>10833.333333333334</v>
      </c>
      <c r="S42" s="62">
        <f t="shared" si="80"/>
        <v>32500</v>
      </c>
      <c r="T42" s="60">
        <f t="shared" ref="T42:V42" si="90">130000/12</f>
        <v>10833.333333333334</v>
      </c>
      <c r="U42" s="60">
        <f t="shared" si="90"/>
        <v>10833.333333333334</v>
      </c>
      <c r="V42" s="60">
        <f t="shared" si="90"/>
        <v>10833.333333333334</v>
      </c>
      <c r="W42" s="62">
        <f t="shared" si="82"/>
        <v>32500</v>
      </c>
      <c r="X42" s="40"/>
      <c r="Y42" s="42">
        <f t="shared" si="83"/>
        <v>130000</v>
      </c>
    </row>
    <row r="43" spans="1:25" ht="13" x14ac:dyDescent="0.3">
      <c r="A43" s="41"/>
      <c r="B43" s="41" t="s">
        <v>158</v>
      </c>
      <c r="C43" s="40"/>
      <c r="D43" s="60">
        <f>74004+4666.67+14449.76</f>
        <v>93120.43</v>
      </c>
      <c r="E43" s="61"/>
      <c r="F43" s="61"/>
      <c r="G43" s="61"/>
      <c r="H43" s="60">
        <f>50000/12</f>
        <v>4166.666666666667</v>
      </c>
      <c r="I43" s="60">
        <f t="shared" ref="I43:J43" si="91">50000/12</f>
        <v>4166.666666666667</v>
      </c>
      <c r="J43" s="60">
        <f t="shared" si="91"/>
        <v>4166.666666666667</v>
      </c>
      <c r="K43" s="62">
        <f t="shared" si="76"/>
        <v>12500</v>
      </c>
      <c r="L43" s="60">
        <f t="shared" ref="L43:N43" si="92">50000/12</f>
        <v>4166.666666666667</v>
      </c>
      <c r="M43" s="60">
        <f t="shared" si="92"/>
        <v>4166.666666666667</v>
      </c>
      <c r="N43" s="60">
        <f t="shared" si="92"/>
        <v>4166.666666666667</v>
      </c>
      <c r="O43" s="62">
        <f t="shared" si="78"/>
        <v>12500</v>
      </c>
      <c r="P43" s="60">
        <f t="shared" ref="P43:R43" si="93">50000/12</f>
        <v>4166.666666666667</v>
      </c>
      <c r="Q43" s="60">
        <f t="shared" si="93"/>
        <v>4166.666666666667</v>
      </c>
      <c r="R43" s="60">
        <f t="shared" si="93"/>
        <v>4166.666666666667</v>
      </c>
      <c r="S43" s="62">
        <f t="shared" si="80"/>
        <v>12500</v>
      </c>
      <c r="T43" s="60">
        <f t="shared" ref="T43:V43" si="94">50000/12</f>
        <v>4166.666666666667</v>
      </c>
      <c r="U43" s="60">
        <f t="shared" si="94"/>
        <v>4166.666666666667</v>
      </c>
      <c r="V43" s="60">
        <f t="shared" si="94"/>
        <v>4166.666666666667</v>
      </c>
      <c r="W43" s="62">
        <f t="shared" si="82"/>
        <v>12500</v>
      </c>
      <c r="X43" s="40"/>
      <c r="Y43" s="43">
        <f t="shared" si="83"/>
        <v>50000</v>
      </c>
    </row>
    <row r="44" spans="1:25" ht="13" x14ac:dyDescent="0.3">
      <c r="A44" s="41"/>
      <c r="B44" s="51" t="s">
        <v>25</v>
      </c>
      <c r="C44" s="40"/>
      <c r="D44" s="52">
        <f>SUM(D38:D43)</f>
        <v>1153163.2</v>
      </c>
      <c r="E44" s="53"/>
      <c r="F44" s="53"/>
      <c r="G44" s="53"/>
      <c r="H44" s="52">
        <f>SUM(H38:H43)</f>
        <v>107333.33333333333</v>
      </c>
      <c r="I44" s="52">
        <f>SUM(I38:I43)</f>
        <v>107333.33333333333</v>
      </c>
      <c r="J44" s="52">
        <f>SUM(J38:J43)</f>
        <v>107333.33333333333</v>
      </c>
      <c r="K44" s="52">
        <f>SUM(H44:J44)</f>
        <v>322000</v>
      </c>
      <c r="L44" s="52">
        <f>SUM(L38:L43)</f>
        <v>99000</v>
      </c>
      <c r="M44" s="52">
        <f>SUM(M38:M43)</f>
        <v>99000</v>
      </c>
      <c r="N44" s="52">
        <f>SUM(N38:N43)</f>
        <v>107333.33333333333</v>
      </c>
      <c r="O44" s="52">
        <f>SUM(L44:N44)</f>
        <v>305333.33333333331</v>
      </c>
      <c r="P44" s="52">
        <f>SUM(P38:P43)</f>
        <v>99000</v>
      </c>
      <c r="Q44" s="52">
        <f>SUM(Q38:Q43)</f>
        <v>99000</v>
      </c>
      <c r="R44" s="52">
        <f>SUM(R38:R43)</f>
        <v>103166.66666666667</v>
      </c>
      <c r="S44" s="52">
        <f>SUM(P44:R44)</f>
        <v>301166.66666666669</v>
      </c>
      <c r="T44" s="52">
        <f>SUM(T38:T43)</f>
        <v>107333.33333333333</v>
      </c>
      <c r="U44" s="52">
        <f>SUM(U38:U43)</f>
        <v>99000</v>
      </c>
      <c r="V44" s="52">
        <f>SUM(V38:V43)</f>
        <v>103166.66666666667</v>
      </c>
      <c r="W44" s="52">
        <f t="shared" si="82"/>
        <v>309500</v>
      </c>
      <c r="X44" s="40"/>
      <c r="Y44" s="119">
        <f t="shared" si="83"/>
        <v>1238000</v>
      </c>
    </row>
    <row r="45" spans="1:25" ht="13" x14ac:dyDescent="0.3">
      <c r="A45" s="41"/>
      <c r="B45" s="48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40"/>
      <c r="Y45" s="39"/>
    </row>
    <row r="46" spans="1:25" ht="13.5" x14ac:dyDescent="0.35">
      <c r="A46" s="63" t="s">
        <v>160</v>
      </c>
      <c r="B46" s="41"/>
      <c r="C46" s="40"/>
      <c r="D46" s="41"/>
      <c r="F46" s="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0"/>
      <c r="Y46" s="39"/>
    </row>
    <row r="47" spans="1:25" ht="13" x14ac:dyDescent="0.3">
      <c r="A47" s="41"/>
      <c r="B47" s="41" t="s">
        <v>26</v>
      </c>
      <c r="C47" s="40"/>
      <c r="D47" s="60">
        <f>8230.68+65151.92</f>
        <v>73382.600000000006</v>
      </c>
      <c r="E47" s="61"/>
      <c r="F47" s="61"/>
      <c r="G47" s="61"/>
      <c r="H47" s="60">
        <f>100000/6</f>
        <v>16666.666666666668</v>
      </c>
      <c r="I47" s="60">
        <f>100000/6</f>
        <v>16666.666666666668</v>
      </c>
      <c r="J47" s="60">
        <f>100000/12</f>
        <v>8333.3333333333339</v>
      </c>
      <c r="K47" s="62">
        <f t="shared" ref="K47:K59" si="95">SUM(H47:J47)</f>
        <v>41666.666666666672</v>
      </c>
      <c r="L47" s="60">
        <f>100000/24</f>
        <v>4166.666666666667</v>
      </c>
      <c r="M47" s="60">
        <f>100000/24</f>
        <v>4166.666666666667</v>
      </c>
      <c r="N47" s="60">
        <f>100000/24</f>
        <v>4166.666666666667</v>
      </c>
      <c r="O47" s="62">
        <f t="shared" ref="O47:O59" si="96">SUM(L47:N47)</f>
        <v>12500</v>
      </c>
      <c r="P47" s="60">
        <f>100000/4</f>
        <v>25000</v>
      </c>
      <c r="Q47" s="60">
        <f t="shared" ref="Q47:R47" si="97">100000/24</f>
        <v>4166.666666666667</v>
      </c>
      <c r="R47" s="60">
        <f t="shared" si="97"/>
        <v>4166.666666666667</v>
      </c>
      <c r="S47" s="62">
        <f t="shared" ref="S47:S59" si="98">SUM(P47:R47)</f>
        <v>33333.333333333336</v>
      </c>
      <c r="T47" s="60">
        <f t="shared" ref="T47:V47" si="99">100000/24</f>
        <v>4166.666666666667</v>
      </c>
      <c r="U47" s="60">
        <f t="shared" si="99"/>
        <v>4166.666666666667</v>
      </c>
      <c r="V47" s="60">
        <f t="shared" si="99"/>
        <v>4166.666666666667</v>
      </c>
      <c r="W47" s="62">
        <f t="shared" ref="W47:W59" si="100">SUM(T47:V47)</f>
        <v>12500</v>
      </c>
      <c r="X47" s="40"/>
      <c r="Y47" s="119">
        <f t="shared" ref="Y47:Y58" si="101">SUM(K47,O47,S47,W47)</f>
        <v>100000</v>
      </c>
    </row>
    <row r="48" spans="1:25" ht="13" x14ac:dyDescent="0.3">
      <c r="A48" s="41"/>
      <c r="B48" s="41" t="s">
        <v>27</v>
      </c>
      <c r="C48" s="40"/>
      <c r="D48" s="60">
        <v>26031.95</v>
      </c>
      <c r="E48" s="61"/>
      <c r="F48" s="61"/>
      <c r="G48" s="61"/>
      <c r="H48" s="60">
        <v>2500</v>
      </c>
      <c r="I48" s="60">
        <v>2500</v>
      </c>
      <c r="J48" s="60">
        <v>2500</v>
      </c>
      <c r="K48" s="62">
        <f t="shared" si="95"/>
        <v>7500</v>
      </c>
      <c r="L48" s="60">
        <v>2500</v>
      </c>
      <c r="M48" s="60">
        <v>2500</v>
      </c>
      <c r="N48" s="60">
        <v>2500</v>
      </c>
      <c r="O48" s="62">
        <f t="shared" si="96"/>
        <v>7500</v>
      </c>
      <c r="P48" s="60">
        <v>2500</v>
      </c>
      <c r="Q48" s="60">
        <v>2500</v>
      </c>
      <c r="R48" s="60">
        <v>2500</v>
      </c>
      <c r="S48" s="62">
        <f t="shared" si="98"/>
        <v>7500</v>
      </c>
      <c r="T48" s="60">
        <v>2500</v>
      </c>
      <c r="U48" s="60">
        <v>2500</v>
      </c>
      <c r="V48" s="60">
        <v>2500</v>
      </c>
      <c r="W48" s="62">
        <f t="shared" si="100"/>
        <v>7500</v>
      </c>
      <c r="X48" s="40"/>
      <c r="Y48" s="119">
        <f t="shared" si="101"/>
        <v>30000</v>
      </c>
    </row>
    <row r="49" spans="1:25" ht="13" x14ac:dyDescent="0.3">
      <c r="A49" s="41"/>
      <c r="B49" s="41" t="s">
        <v>28</v>
      </c>
      <c r="C49" s="40"/>
      <c r="D49" s="60">
        <v>37328.44</v>
      </c>
      <c r="E49" s="61"/>
      <c r="F49" s="61"/>
      <c r="G49" s="61"/>
      <c r="H49" s="60">
        <f>40000/12</f>
        <v>3333.3333333333335</v>
      </c>
      <c r="I49" s="60">
        <f t="shared" ref="I49:J49" si="102">40000/12</f>
        <v>3333.3333333333335</v>
      </c>
      <c r="J49" s="60">
        <f t="shared" si="102"/>
        <v>3333.3333333333335</v>
      </c>
      <c r="K49" s="62">
        <f t="shared" si="95"/>
        <v>10000</v>
      </c>
      <c r="L49" s="60">
        <f t="shared" ref="L49:N49" si="103">40000/12</f>
        <v>3333.3333333333335</v>
      </c>
      <c r="M49" s="60">
        <f t="shared" si="103"/>
        <v>3333.3333333333335</v>
      </c>
      <c r="N49" s="60">
        <f t="shared" si="103"/>
        <v>3333.3333333333335</v>
      </c>
      <c r="O49" s="62">
        <f t="shared" si="96"/>
        <v>10000</v>
      </c>
      <c r="P49" s="60">
        <f t="shared" ref="P49:R49" si="104">40000/12</f>
        <v>3333.3333333333335</v>
      </c>
      <c r="Q49" s="60">
        <f t="shared" si="104"/>
        <v>3333.3333333333335</v>
      </c>
      <c r="R49" s="60">
        <f t="shared" si="104"/>
        <v>3333.3333333333335</v>
      </c>
      <c r="S49" s="62">
        <f t="shared" si="98"/>
        <v>10000</v>
      </c>
      <c r="T49" s="60">
        <f t="shared" ref="T49:V49" si="105">40000/12</f>
        <v>3333.3333333333335</v>
      </c>
      <c r="U49" s="60">
        <f t="shared" si="105"/>
        <v>3333.3333333333335</v>
      </c>
      <c r="V49" s="60">
        <f t="shared" si="105"/>
        <v>3333.3333333333335</v>
      </c>
      <c r="W49" s="62">
        <f t="shared" si="100"/>
        <v>10000</v>
      </c>
      <c r="X49" s="40"/>
      <c r="Y49" s="119">
        <f t="shared" si="101"/>
        <v>40000</v>
      </c>
    </row>
    <row r="50" spans="1:25" ht="13" x14ac:dyDescent="0.3">
      <c r="A50" s="41"/>
      <c r="B50" s="41" t="s">
        <v>29</v>
      </c>
      <c r="C50" s="40"/>
      <c r="D50" s="60">
        <f>10000+4113.33+138000+20345.92</f>
        <v>172459.25</v>
      </c>
      <c r="E50" s="61"/>
      <c r="F50" s="61"/>
      <c r="G50" s="61"/>
      <c r="H50" s="60">
        <f>(210345.92-35700)/12</f>
        <v>14553.826666666668</v>
      </c>
      <c r="I50" s="60">
        <f t="shared" ref="I50:J50" si="106">(210345.92-35700)/12</f>
        <v>14553.826666666668</v>
      </c>
      <c r="J50" s="60">
        <f t="shared" si="106"/>
        <v>14553.826666666668</v>
      </c>
      <c r="K50" s="62">
        <f t="shared" si="95"/>
        <v>43661.48</v>
      </c>
      <c r="L50" s="60">
        <f>(210345.92-35700)/12</f>
        <v>14553.826666666668</v>
      </c>
      <c r="M50" s="60">
        <f t="shared" ref="M50:N50" si="107">(210345.92-35700)/12</f>
        <v>14553.826666666668</v>
      </c>
      <c r="N50" s="60">
        <f t="shared" si="107"/>
        <v>14553.826666666668</v>
      </c>
      <c r="O50" s="62">
        <f t="shared" si="96"/>
        <v>43661.48</v>
      </c>
      <c r="P50" s="60">
        <f>(210345.92-35700)/12</f>
        <v>14553.826666666668</v>
      </c>
      <c r="Q50" s="60">
        <f t="shared" ref="Q50:R50" si="108">(210345.92-35700)/12</f>
        <v>14553.826666666668</v>
      </c>
      <c r="R50" s="60">
        <f t="shared" si="108"/>
        <v>14553.826666666668</v>
      </c>
      <c r="S50" s="62">
        <f t="shared" si="98"/>
        <v>43661.48</v>
      </c>
      <c r="T50" s="60">
        <f>(210345.92-35700)/12</f>
        <v>14553.826666666668</v>
      </c>
      <c r="U50" s="60">
        <f t="shared" ref="U50:V50" si="109">(210345.92-35700)/12</f>
        <v>14553.826666666668</v>
      </c>
      <c r="V50" s="60">
        <f t="shared" si="109"/>
        <v>14553.826666666668</v>
      </c>
      <c r="W50" s="62">
        <f t="shared" si="100"/>
        <v>43661.48</v>
      </c>
      <c r="X50" s="40"/>
      <c r="Y50" s="119">
        <f t="shared" si="101"/>
        <v>174645.92</v>
      </c>
    </row>
    <row r="51" spans="1:25" ht="13" x14ac:dyDescent="0.3">
      <c r="A51" s="41"/>
      <c r="B51" s="41" t="s">
        <v>30</v>
      </c>
      <c r="C51" s="40"/>
      <c r="D51" s="99">
        <v>46932.61</v>
      </c>
      <c r="E51" s="61"/>
      <c r="F51" s="61"/>
      <c r="G51" s="61"/>
      <c r="H51" s="99">
        <f>60000/12</f>
        <v>5000</v>
      </c>
      <c r="I51" s="99">
        <f t="shared" ref="I51:J51" si="110">60000/12</f>
        <v>5000</v>
      </c>
      <c r="J51" s="99">
        <f t="shared" si="110"/>
        <v>5000</v>
      </c>
      <c r="K51" s="62">
        <f t="shared" si="95"/>
        <v>15000</v>
      </c>
      <c r="L51" s="99">
        <f t="shared" ref="L51:N51" si="111">60000/12</f>
        <v>5000</v>
      </c>
      <c r="M51" s="99">
        <f t="shared" si="111"/>
        <v>5000</v>
      </c>
      <c r="N51" s="99">
        <f t="shared" si="111"/>
        <v>5000</v>
      </c>
      <c r="O51" s="62">
        <f t="shared" si="96"/>
        <v>15000</v>
      </c>
      <c r="P51" s="99">
        <f t="shared" ref="P51:R51" si="112">60000/12</f>
        <v>5000</v>
      </c>
      <c r="Q51" s="99">
        <f t="shared" si="112"/>
        <v>5000</v>
      </c>
      <c r="R51" s="99">
        <f t="shared" si="112"/>
        <v>5000</v>
      </c>
      <c r="S51" s="62">
        <f t="shared" si="98"/>
        <v>15000</v>
      </c>
      <c r="T51" s="99">
        <f t="shared" ref="T51:V51" si="113">60000/12</f>
        <v>5000</v>
      </c>
      <c r="U51" s="99">
        <f t="shared" si="113"/>
        <v>5000</v>
      </c>
      <c r="V51" s="99">
        <f t="shared" si="113"/>
        <v>5000</v>
      </c>
      <c r="W51" s="62">
        <f t="shared" si="100"/>
        <v>15000</v>
      </c>
      <c r="X51" s="40"/>
      <c r="Y51" s="119">
        <f t="shared" si="101"/>
        <v>60000</v>
      </c>
    </row>
    <row r="52" spans="1:25" ht="13" x14ac:dyDescent="0.3">
      <c r="A52" s="41"/>
      <c r="B52" s="41" t="s">
        <v>31</v>
      </c>
      <c r="C52" s="40"/>
      <c r="D52" s="99">
        <v>27555.61</v>
      </c>
      <c r="E52" s="61"/>
      <c r="F52" s="61"/>
      <c r="G52" s="61"/>
      <c r="H52" s="99">
        <v>0</v>
      </c>
      <c r="I52" s="99">
        <v>0</v>
      </c>
      <c r="J52" s="99">
        <v>0</v>
      </c>
      <c r="K52" s="62">
        <f t="shared" si="95"/>
        <v>0</v>
      </c>
      <c r="L52" s="99">
        <v>0</v>
      </c>
      <c r="M52" s="99">
        <v>0</v>
      </c>
      <c r="N52" s="99">
        <v>0</v>
      </c>
      <c r="O52" s="62">
        <f t="shared" si="96"/>
        <v>0</v>
      </c>
      <c r="P52" s="99">
        <v>0</v>
      </c>
      <c r="Q52" s="99">
        <v>0</v>
      </c>
      <c r="R52" s="99">
        <v>0</v>
      </c>
      <c r="S52" s="62">
        <f t="shared" si="98"/>
        <v>0</v>
      </c>
      <c r="T52" s="99">
        <v>0</v>
      </c>
      <c r="U52" s="99">
        <v>0</v>
      </c>
      <c r="V52" s="99">
        <v>0</v>
      </c>
      <c r="W52" s="62">
        <f t="shared" si="100"/>
        <v>0</v>
      </c>
      <c r="X52" s="40"/>
      <c r="Y52" s="119">
        <f t="shared" si="101"/>
        <v>0</v>
      </c>
    </row>
    <row r="53" spans="1:25" ht="13" x14ac:dyDescent="0.3">
      <c r="A53" s="41"/>
      <c r="B53" s="41" t="s">
        <v>161</v>
      </c>
      <c r="C53" s="40"/>
      <c r="D53" s="99">
        <v>123250.95</v>
      </c>
      <c r="E53" s="61"/>
      <c r="F53" s="61"/>
      <c r="G53" s="61"/>
      <c r="H53" s="99">
        <f>206000/6</f>
        <v>34333.333333333336</v>
      </c>
      <c r="I53" s="99">
        <f>206000/6</f>
        <v>34333.333333333336</v>
      </c>
      <c r="J53" s="99"/>
      <c r="K53" s="62">
        <f t="shared" si="95"/>
        <v>68666.666666666672</v>
      </c>
      <c r="L53" s="99">
        <f t="shared" ref="L53:M53" si="114">206000/6</f>
        <v>34333.333333333336</v>
      </c>
      <c r="M53" s="99">
        <f t="shared" si="114"/>
        <v>34333.333333333336</v>
      </c>
      <c r="N53" s="99">
        <f t="shared" ref="N53:R53" si="115">206000/12</f>
        <v>17166.666666666668</v>
      </c>
      <c r="O53" s="62">
        <f t="shared" si="96"/>
        <v>85833.333333333343</v>
      </c>
      <c r="P53" s="99">
        <f t="shared" si="115"/>
        <v>17166.666666666668</v>
      </c>
      <c r="Q53" s="99"/>
      <c r="R53" s="99">
        <f t="shared" si="115"/>
        <v>17166.666666666668</v>
      </c>
      <c r="S53" s="62">
        <f t="shared" si="98"/>
        <v>34333.333333333336</v>
      </c>
      <c r="T53" s="99">
        <f t="shared" ref="T53:V53" si="116">206000/12</f>
        <v>17166.666666666668</v>
      </c>
      <c r="U53" s="99"/>
      <c r="V53" s="99"/>
      <c r="W53" s="62">
        <f t="shared" si="100"/>
        <v>17166.666666666668</v>
      </c>
      <c r="X53" s="40"/>
      <c r="Y53" s="119">
        <f t="shared" si="101"/>
        <v>206000</v>
      </c>
    </row>
    <row r="54" spans="1:25" ht="13" x14ac:dyDescent="0.3">
      <c r="A54" s="41"/>
      <c r="B54" s="41" t="s">
        <v>162</v>
      </c>
      <c r="C54" s="40"/>
      <c r="D54" s="99">
        <v>50000</v>
      </c>
      <c r="E54" s="61"/>
      <c r="F54" s="61"/>
      <c r="G54" s="61"/>
      <c r="H54" s="99">
        <f>60000/12</f>
        <v>5000</v>
      </c>
      <c r="I54" s="99">
        <f t="shared" ref="I54:J54" si="117">60000/12</f>
        <v>5000</v>
      </c>
      <c r="J54" s="99">
        <f t="shared" si="117"/>
        <v>5000</v>
      </c>
      <c r="K54" s="62">
        <f t="shared" si="95"/>
        <v>15000</v>
      </c>
      <c r="L54" s="99">
        <f t="shared" ref="L54:N54" si="118">60000/12</f>
        <v>5000</v>
      </c>
      <c r="M54" s="99">
        <f t="shared" si="118"/>
        <v>5000</v>
      </c>
      <c r="N54" s="99">
        <f t="shared" si="118"/>
        <v>5000</v>
      </c>
      <c r="O54" s="62">
        <f t="shared" si="96"/>
        <v>15000</v>
      </c>
      <c r="P54" s="99">
        <f t="shared" ref="P54:R54" si="119">60000/12</f>
        <v>5000</v>
      </c>
      <c r="Q54" s="99">
        <f t="shared" si="119"/>
        <v>5000</v>
      </c>
      <c r="R54" s="99">
        <f t="shared" si="119"/>
        <v>5000</v>
      </c>
      <c r="S54" s="62">
        <f t="shared" si="98"/>
        <v>15000</v>
      </c>
      <c r="T54" s="99">
        <f t="shared" ref="T54:V54" si="120">60000/12</f>
        <v>5000</v>
      </c>
      <c r="U54" s="99">
        <f t="shared" si="120"/>
        <v>5000</v>
      </c>
      <c r="V54" s="99">
        <f t="shared" si="120"/>
        <v>5000</v>
      </c>
      <c r="W54" s="62">
        <f t="shared" si="100"/>
        <v>15000</v>
      </c>
      <c r="X54" s="40"/>
      <c r="Y54" s="119">
        <f t="shared" si="101"/>
        <v>60000</v>
      </c>
    </row>
    <row r="55" spans="1:25" ht="13" x14ac:dyDescent="0.3">
      <c r="A55" s="41"/>
      <c r="B55" s="41" t="s">
        <v>33</v>
      </c>
      <c r="C55" s="40"/>
      <c r="D55" s="99">
        <v>0</v>
      </c>
      <c r="E55" s="61"/>
      <c r="F55" s="61"/>
      <c r="G55" s="61"/>
      <c r="H55" s="99">
        <v>0</v>
      </c>
      <c r="I55" s="99">
        <v>0</v>
      </c>
      <c r="J55" s="99">
        <v>0</v>
      </c>
      <c r="K55" s="62">
        <f t="shared" si="95"/>
        <v>0</v>
      </c>
      <c r="L55" s="99">
        <v>0</v>
      </c>
      <c r="M55" s="99">
        <v>0</v>
      </c>
      <c r="N55" s="99">
        <v>0</v>
      </c>
      <c r="O55" s="62">
        <f t="shared" si="96"/>
        <v>0</v>
      </c>
      <c r="P55" s="99">
        <v>0</v>
      </c>
      <c r="Q55" s="99">
        <v>0</v>
      </c>
      <c r="R55" s="99">
        <v>0</v>
      </c>
      <c r="S55" s="62">
        <f t="shared" si="98"/>
        <v>0</v>
      </c>
      <c r="T55" s="99">
        <v>0</v>
      </c>
      <c r="U55" s="99">
        <v>0</v>
      </c>
      <c r="V55" s="99">
        <v>0</v>
      </c>
      <c r="W55" s="62">
        <f t="shared" si="100"/>
        <v>0</v>
      </c>
      <c r="X55" s="40"/>
      <c r="Y55" s="119">
        <f t="shared" si="101"/>
        <v>0</v>
      </c>
    </row>
    <row r="56" spans="1:25" ht="13" x14ac:dyDescent="0.3">
      <c r="A56" s="41"/>
      <c r="B56" s="41" t="s">
        <v>163</v>
      </c>
      <c r="C56" s="40"/>
      <c r="D56" s="99">
        <v>0</v>
      </c>
      <c r="E56" s="61"/>
      <c r="F56" s="61"/>
      <c r="G56" s="61"/>
      <c r="H56" s="99">
        <v>0</v>
      </c>
      <c r="I56" s="99">
        <v>0</v>
      </c>
      <c r="J56" s="99">
        <v>0</v>
      </c>
      <c r="K56" s="62">
        <f t="shared" si="95"/>
        <v>0</v>
      </c>
      <c r="L56" s="99">
        <v>0</v>
      </c>
      <c r="M56" s="99">
        <v>0</v>
      </c>
      <c r="N56" s="99">
        <v>0</v>
      </c>
      <c r="O56" s="62">
        <f t="shared" si="96"/>
        <v>0</v>
      </c>
      <c r="P56" s="99">
        <v>0</v>
      </c>
      <c r="Q56" s="99">
        <v>0</v>
      </c>
      <c r="R56" s="99">
        <v>0</v>
      </c>
      <c r="S56" s="62">
        <f t="shared" si="98"/>
        <v>0</v>
      </c>
      <c r="T56" s="99">
        <v>0</v>
      </c>
      <c r="U56" s="99">
        <v>0</v>
      </c>
      <c r="V56" s="99">
        <v>0</v>
      </c>
      <c r="W56" s="62">
        <f t="shared" si="100"/>
        <v>0</v>
      </c>
      <c r="X56" s="40"/>
      <c r="Y56" s="119">
        <f t="shared" si="101"/>
        <v>0</v>
      </c>
    </row>
    <row r="57" spans="1:25" ht="13" x14ac:dyDescent="0.3">
      <c r="A57" s="41"/>
      <c r="B57" s="41" t="s">
        <v>164</v>
      </c>
      <c r="C57" s="40"/>
      <c r="D57" s="60">
        <v>100322.41</v>
      </c>
      <c r="E57" s="61"/>
      <c r="F57" s="61"/>
      <c r="G57" s="61"/>
      <c r="H57" s="99">
        <f>62069.36/12</f>
        <v>5172.4466666666667</v>
      </c>
      <c r="I57" s="99">
        <f t="shared" ref="I57:J57" si="121">62069.36/12</f>
        <v>5172.4466666666667</v>
      </c>
      <c r="J57" s="99">
        <f t="shared" si="121"/>
        <v>5172.4466666666667</v>
      </c>
      <c r="K57" s="62">
        <f t="shared" si="95"/>
        <v>15517.34</v>
      </c>
      <c r="L57" s="99">
        <f t="shared" ref="L57:N57" si="122">62069.36/12</f>
        <v>5172.4466666666667</v>
      </c>
      <c r="M57" s="99">
        <f t="shared" si="122"/>
        <v>5172.4466666666667</v>
      </c>
      <c r="N57" s="99">
        <f t="shared" si="122"/>
        <v>5172.4466666666667</v>
      </c>
      <c r="O57" s="62">
        <f t="shared" si="96"/>
        <v>15517.34</v>
      </c>
      <c r="P57" s="99">
        <f t="shared" ref="P57:R57" si="123">62069.36/12</f>
        <v>5172.4466666666667</v>
      </c>
      <c r="Q57" s="99">
        <f t="shared" si="123"/>
        <v>5172.4466666666667</v>
      </c>
      <c r="R57" s="99">
        <f t="shared" si="123"/>
        <v>5172.4466666666667</v>
      </c>
      <c r="S57" s="62">
        <f t="shared" si="98"/>
        <v>15517.34</v>
      </c>
      <c r="T57" s="99">
        <f t="shared" ref="T57:V57" si="124">62069.36/12</f>
        <v>5172.4466666666667</v>
      </c>
      <c r="U57" s="99">
        <f t="shared" si="124"/>
        <v>5172.4466666666667</v>
      </c>
      <c r="V57" s="99">
        <f t="shared" si="124"/>
        <v>5172.4466666666667</v>
      </c>
      <c r="W57" s="62">
        <f t="shared" si="100"/>
        <v>15517.34</v>
      </c>
      <c r="X57" s="40"/>
      <c r="Y57" s="119">
        <f t="shared" si="101"/>
        <v>62069.36</v>
      </c>
    </row>
    <row r="58" spans="1:25" ht="13" x14ac:dyDescent="0.3">
      <c r="A58" s="41"/>
      <c r="B58" s="41" t="s">
        <v>34</v>
      </c>
      <c r="C58" s="40"/>
      <c r="D58" s="60">
        <f>14288.57+58833.32+9333.33+38781.27+35000+85000+357.49+45000</f>
        <v>286593.98</v>
      </c>
      <c r="E58" s="61"/>
      <c r="F58" s="61"/>
      <c r="G58" s="61"/>
      <c r="H58" s="60">
        <f>237100/12</f>
        <v>19758.333333333332</v>
      </c>
      <c r="I58" s="60">
        <f t="shared" ref="I58:J58" si="125">237100/12</f>
        <v>19758.333333333332</v>
      </c>
      <c r="J58" s="60">
        <f t="shared" si="125"/>
        <v>19758.333333333332</v>
      </c>
      <c r="K58" s="62">
        <f t="shared" si="95"/>
        <v>59275</v>
      </c>
      <c r="L58" s="60">
        <f t="shared" ref="L58:N58" si="126">237100/12</f>
        <v>19758.333333333332</v>
      </c>
      <c r="M58" s="60">
        <f t="shared" si="126"/>
        <v>19758.333333333332</v>
      </c>
      <c r="N58" s="60">
        <f t="shared" si="126"/>
        <v>19758.333333333332</v>
      </c>
      <c r="O58" s="62">
        <f t="shared" si="96"/>
        <v>59275</v>
      </c>
      <c r="P58" s="60">
        <f t="shared" ref="P58:R58" si="127">237100/12</f>
        <v>19758.333333333332</v>
      </c>
      <c r="Q58" s="60">
        <f t="shared" si="127"/>
        <v>19758.333333333332</v>
      </c>
      <c r="R58" s="60">
        <f t="shared" si="127"/>
        <v>19758.333333333332</v>
      </c>
      <c r="S58" s="62">
        <f t="shared" si="98"/>
        <v>59275</v>
      </c>
      <c r="T58" s="60">
        <f t="shared" ref="T58:V58" si="128">237100/12</f>
        <v>19758.333333333332</v>
      </c>
      <c r="U58" s="60">
        <f t="shared" si="128"/>
        <v>19758.333333333332</v>
      </c>
      <c r="V58" s="60">
        <f>(237100/12)-7900</f>
        <v>11858.333333333332</v>
      </c>
      <c r="W58" s="62">
        <f t="shared" si="100"/>
        <v>51375</v>
      </c>
      <c r="X58" s="40"/>
      <c r="Y58" s="43">
        <f t="shared" si="101"/>
        <v>229200</v>
      </c>
    </row>
    <row r="59" spans="1:25" ht="13" x14ac:dyDescent="0.3">
      <c r="A59" s="41"/>
      <c r="B59" s="51" t="s">
        <v>35</v>
      </c>
      <c r="C59" s="40"/>
      <c r="D59" s="52">
        <f>SUM(D47:D58)</f>
        <v>943857.79999999993</v>
      </c>
      <c r="E59" s="53"/>
      <c r="F59" s="53"/>
      <c r="G59" s="53"/>
      <c r="H59" s="52">
        <f>SUM(H47:H58)</f>
        <v>106317.94</v>
      </c>
      <c r="I59" s="52">
        <f>SUM(I47:I58)</f>
        <v>106317.94</v>
      </c>
      <c r="J59" s="52">
        <f>SUM(J47:J58)</f>
        <v>63651.273333333331</v>
      </c>
      <c r="K59" s="52">
        <f t="shared" si="95"/>
        <v>276287.15333333332</v>
      </c>
      <c r="L59" s="52">
        <f>SUM(L47:L58)</f>
        <v>93817.94</v>
      </c>
      <c r="M59" s="52">
        <f>SUM(M47:M58)</f>
        <v>93817.94</v>
      </c>
      <c r="N59" s="52">
        <f>SUM(N47:N58)</f>
        <v>76651.273333333331</v>
      </c>
      <c r="O59" s="52">
        <f t="shared" si="96"/>
        <v>264287.15333333332</v>
      </c>
      <c r="P59" s="52">
        <f>SUM(P47:P58)</f>
        <v>97484.606666666674</v>
      </c>
      <c r="Q59" s="52">
        <f>SUM(Q47:Q58)</f>
        <v>59484.606666666659</v>
      </c>
      <c r="R59" s="52">
        <f>SUM(R47:R58)</f>
        <v>76651.273333333331</v>
      </c>
      <c r="S59" s="52">
        <f t="shared" si="98"/>
        <v>233620.48666666663</v>
      </c>
      <c r="T59" s="52">
        <f>SUM(T47:T58)</f>
        <v>76651.273333333331</v>
      </c>
      <c r="U59" s="52">
        <f>SUM(U47:U58)</f>
        <v>59484.606666666659</v>
      </c>
      <c r="V59" s="52">
        <f>SUM(V47:V58)</f>
        <v>51584.606666666659</v>
      </c>
      <c r="W59" s="52">
        <f t="shared" si="100"/>
        <v>187720.48666666666</v>
      </c>
      <c r="X59" s="40"/>
      <c r="Y59" s="42">
        <f>SUM(K59,O59,S59,W59)</f>
        <v>961915.27999999991</v>
      </c>
    </row>
    <row r="60" spans="1:25" ht="13" x14ac:dyDescent="0.3">
      <c r="A60" s="41"/>
      <c r="B60" s="48"/>
      <c r="C60" s="40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40"/>
    </row>
    <row r="61" spans="1:25" ht="13" x14ac:dyDescent="0.3">
      <c r="A61" s="41"/>
      <c r="B61" s="51" t="s">
        <v>165</v>
      </c>
      <c r="C61" s="40"/>
      <c r="D61" s="52">
        <f>D59+D44+D35+D27</f>
        <v>7332011.7999999998</v>
      </c>
      <c r="E61" s="53"/>
      <c r="F61" s="53"/>
      <c r="G61" s="53"/>
      <c r="H61" s="52">
        <f t="shared" ref="H61:W61" si="129">H59+H44+H35+H27</f>
        <v>664629.7956666667</v>
      </c>
      <c r="I61" s="52">
        <f t="shared" si="129"/>
        <v>686249.75833333342</v>
      </c>
      <c r="J61" s="52">
        <f t="shared" si="129"/>
        <v>643583.09166666679</v>
      </c>
      <c r="K61" s="52">
        <f t="shared" si="129"/>
        <v>1994462.645666667</v>
      </c>
      <c r="L61" s="52">
        <f t="shared" si="129"/>
        <v>665559.73966666684</v>
      </c>
      <c r="M61" s="52">
        <f t="shared" si="129"/>
        <v>653666.42500000005</v>
      </c>
      <c r="N61" s="52">
        <f t="shared" si="129"/>
        <v>644833.09166666679</v>
      </c>
      <c r="O61" s="52">
        <f t="shared" si="129"/>
        <v>1964059.2563333334</v>
      </c>
      <c r="P61" s="52">
        <f t="shared" si="129"/>
        <v>652694.33500000008</v>
      </c>
      <c r="Q61" s="52">
        <f t="shared" si="129"/>
        <v>613458.09166666679</v>
      </c>
      <c r="R61" s="52">
        <f t="shared" si="129"/>
        <v>638351.40633333346</v>
      </c>
      <c r="S61" s="52">
        <f t="shared" si="129"/>
        <v>1904503.8330000001</v>
      </c>
      <c r="T61" s="52">
        <f t="shared" si="129"/>
        <v>647291.42500000005</v>
      </c>
      <c r="U61" s="52">
        <f t="shared" si="129"/>
        <v>617018.07300000009</v>
      </c>
      <c r="V61" s="52">
        <f t="shared" si="129"/>
        <v>591665.75833333342</v>
      </c>
      <c r="W61" s="64">
        <f t="shared" si="129"/>
        <v>1855975.2563333337</v>
      </c>
      <c r="X61" s="40"/>
      <c r="Y61" s="43">
        <f>SUM(K61,O61,S61,W61)</f>
        <v>7719000.9913333347</v>
      </c>
    </row>
    <row r="62" spans="1:25" ht="12.75" customHeight="1" x14ac:dyDescent="0.3">
      <c r="A62" s="54" t="s">
        <v>166</v>
      </c>
      <c r="B62" s="51"/>
      <c r="C62" s="40"/>
      <c r="D62" s="52">
        <f>D16-D61</f>
        <v>143427.20000000019</v>
      </c>
      <c r="E62" s="53"/>
      <c r="F62" s="53"/>
      <c r="G62" s="53"/>
      <c r="H62" s="52">
        <f t="shared" ref="H62:W62" si="130">H16-H61</f>
        <v>3493.8709999999264</v>
      </c>
      <c r="I62" s="52">
        <f t="shared" si="130"/>
        <v>-143126.09166666679</v>
      </c>
      <c r="J62" s="52">
        <f t="shared" si="130"/>
        <v>-90798.158333333558</v>
      </c>
      <c r="K62" s="52">
        <f t="shared" si="130"/>
        <v>-230430.37900000042</v>
      </c>
      <c r="L62" s="52">
        <f t="shared" si="130"/>
        <v>-128645.45633333363</v>
      </c>
      <c r="M62" s="52">
        <f t="shared" si="130"/>
        <v>-116752.14166666684</v>
      </c>
      <c r="N62" s="52">
        <f t="shared" si="130"/>
        <v>407951.84166666656</v>
      </c>
      <c r="O62" s="52">
        <f t="shared" si="130"/>
        <v>162554.24366666656</v>
      </c>
      <c r="P62" s="52">
        <f t="shared" si="130"/>
        <v>-99909.401666666847</v>
      </c>
      <c r="Q62" s="52">
        <f t="shared" si="130"/>
        <v>-35141.241666666931</v>
      </c>
      <c r="R62" s="52">
        <f t="shared" si="130"/>
        <v>-50034.556333333603</v>
      </c>
      <c r="S62" s="52">
        <f t="shared" si="130"/>
        <v>-185085.19966666703</v>
      </c>
      <c r="T62" s="52">
        <f t="shared" si="130"/>
        <v>-94506.491666666814</v>
      </c>
      <c r="U62" s="52">
        <f t="shared" si="130"/>
        <v>-64233.139666666859</v>
      </c>
      <c r="V62" s="52">
        <f t="shared" si="130"/>
        <v>461119.17499999993</v>
      </c>
      <c r="W62" s="52">
        <f t="shared" si="130"/>
        <v>302379.54366666614</v>
      </c>
      <c r="X62" s="40"/>
      <c r="Y62" s="42">
        <f t="shared" ref="Y62" si="131">SUM(K62,O62,S62,W62)</f>
        <v>49418.208666665247</v>
      </c>
    </row>
    <row r="63" spans="1:25" ht="12.75" customHeight="1" x14ac:dyDescent="0.3">
      <c r="A63" s="54"/>
      <c r="B63" s="48"/>
      <c r="C63" s="40"/>
      <c r="D63" s="65"/>
      <c r="E63" s="53"/>
      <c r="F63" s="53"/>
      <c r="G63" s="53"/>
      <c r="H63" s="65"/>
      <c r="I63" s="65"/>
      <c r="J63" s="65"/>
      <c r="K63" s="53"/>
      <c r="L63" s="65"/>
      <c r="M63" s="65"/>
      <c r="N63" s="65"/>
      <c r="O63" s="53"/>
      <c r="P63" s="65"/>
      <c r="Q63" s="65"/>
      <c r="R63" s="65"/>
      <c r="S63" s="53"/>
      <c r="T63" s="65"/>
      <c r="U63" s="65"/>
      <c r="V63" s="65"/>
      <c r="W63" s="53"/>
      <c r="X63" s="40"/>
    </row>
    <row r="64" spans="1:25" ht="13" x14ac:dyDescent="0.3">
      <c r="A64" s="54" t="s">
        <v>36</v>
      </c>
      <c r="B64" s="51"/>
      <c r="C64" s="40"/>
      <c r="D64" s="108">
        <f>D62</f>
        <v>143427.20000000019</v>
      </c>
      <c r="E64" s="98"/>
      <c r="F64" s="98"/>
      <c r="G64" s="98"/>
      <c r="H64" s="108">
        <f>H62</f>
        <v>3493.8709999999264</v>
      </c>
      <c r="I64" s="108">
        <f t="shared" ref="I64:W64" si="132">I62</f>
        <v>-143126.09166666679</v>
      </c>
      <c r="J64" s="108">
        <f t="shared" si="132"/>
        <v>-90798.158333333558</v>
      </c>
      <c r="K64" s="108">
        <f t="shared" si="132"/>
        <v>-230430.37900000042</v>
      </c>
      <c r="L64" s="108">
        <f t="shared" si="132"/>
        <v>-128645.45633333363</v>
      </c>
      <c r="M64" s="108">
        <f t="shared" si="132"/>
        <v>-116752.14166666684</v>
      </c>
      <c r="N64" s="108">
        <f t="shared" si="132"/>
        <v>407951.84166666656</v>
      </c>
      <c r="O64" s="108">
        <f t="shared" si="132"/>
        <v>162554.24366666656</v>
      </c>
      <c r="P64" s="108">
        <f t="shared" si="132"/>
        <v>-99909.401666666847</v>
      </c>
      <c r="Q64" s="108">
        <f t="shared" si="132"/>
        <v>-35141.241666666931</v>
      </c>
      <c r="R64" s="108">
        <f t="shared" si="132"/>
        <v>-50034.556333333603</v>
      </c>
      <c r="S64" s="108">
        <f t="shared" si="132"/>
        <v>-185085.19966666703</v>
      </c>
      <c r="T64" s="108">
        <f t="shared" si="132"/>
        <v>-94506.491666666814</v>
      </c>
      <c r="U64" s="108">
        <f t="shared" si="132"/>
        <v>-64233.139666666859</v>
      </c>
      <c r="V64" s="108">
        <f t="shared" si="132"/>
        <v>461119.17499999993</v>
      </c>
      <c r="W64" s="108">
        <f t="shared" si="132"/>
        <v>302379.54366666614</v>
      </c>
      <c r="X64" s="112"/>
      <c r="Y64" s="113">
        <f>SUM(K64,O64,S64,W64)</f>
        <v>49418.208666665247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workbookViewId="0">
      <selection activeCell="A10" sqref="A10"/>
    </sheetView>
  </sheetViews>
  <sheetFormatPr defaultColWidth="9.1796875" defaultRowHeight="12.75" customHeight="1" x14ac:dyDescent="0.3"/>
  <cols>
    <col min="1" max="1" width="1.81640625" style="38" customWidth="1"/>
    <col min="2" max="2" width="44.26953125" style="38" bestFit="1" customWidth="1"/>
    <col min="3" max="3" width="2.81640625" style="38" customWidth="1"/>
    <col min="4" max="4" width="10.7265625" style="38" customWidth="1"/>
    <col min="5" max="5" width="2.81640625" style="2" customWidth="1"/>
    <col min="6" max="8" width="10.7265625" style="38" hidden="1" customWidth="1"/>
    <col min="9" max="9" width="10.7265625" style="38" customWidth="1"/>
    <col min="10" max="12" width="10.7265625" style="38" hidden="1" customWidth="1"/>
    <col min="13" max="13" width="10.7265625" style="38" customWidth="1"/>
    <col min="14" max="16" width="10.7265625" style="38" hidden="1" customWidth="1"/>
    <col min="17" max="17" width="10.7265625" style="38" customWidth="1"/>
    <col min="18" max="20" width="10.7265625" style="38" hidden="1" customWidth="1"/>
    <col min="21" max="21" width="10.7265625" style="38" customWidth="1"/>
    <col min="22" max="22" width="2.7265625" style="38" customWidth="1"/>
    <col min="23" max="25" width="9.7265625" style="38" bestFit="1" customWidth="1"/>
    <col min="26" max="26" width="1.81640625" style="38" customWidth="1"/>
    <col min="27" max="16384" width="9.1796875" style="38"/>
  </cols>
  <sheetData>
    <row r="1" spans="1:29" ht="12.75" customHeight="1" x14ac:dyDescent="0.3">
      <c r="A1" s="57" t="str">
        <f>'Cover Sheet'!A2</f>
        <v>Enter School Name: Howard University Middle School of Mathematics &amp; Science PCS</v>
      </c>
    </row>
    <row r="2" spans="1:29" ht="13" x14ac:dyDescent="0.3">
      <c r="A2" s="38" t="str">
        <f>'Cover Sheet'!A8&amp;" "&amp;'Cover Sheet'!$A$9&amp;" Financials"</f>
        <v>Enter Fiscal Year: SY18-19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7"/>
      <c r="X2" s="2"/>
      <c r="Y2" s="70"/>
    </row>
    <row r="3" spans="1:29" ht="13" x14ac:dyDescent="0.3">
      <c r="A3" s="40"/>
      <c r="B3" s="41"/>
      <c r="C3" s="40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0"/>
      <c r="W3" s="41"/>
      <c r="X3" s="40"/>
      <c r="Y3" s="41"/>
    </row>
    <row r="4" spans="1:29" ht="13" x14ac:dyDescent="0.3">
      <c r="A4" s="2"/>
      <c r="B4" s="2"/>
      <c r="C4" s="40"/>
      <c r="D4" s="44" t="s">
        <v>149</v>
      </c>
      <c r="E4" s="45"/>
      <c r="F4" s="44" t="s">
        <v>137</v>
      </c>
      <c r="G4" s="44" t="s">
        <v>138</v>
      </c>
      <c r="H4" s="44" t="s">
        <v>139</v>
      </c>
      <c r="I4" s="44" t="s">
        <v>82</v>
      </c>
      <c r="J4" s="44" t="s">
        <v>140</v>
      </c>
      <c r="K4" s="44" t="s">
        <v>141</v>
      </c>
      <c r="L4" s="44" t="s">
        <v>142</v>
      </c>
      <c r="M4" s="44" t="s">
        <v>83</v>
      </c>
      <c r="N4" s="44" t="s">
        <v>143</v>
      </c>
      <c r="O4" s="44" t="s">
        <v>144</v>
      </c>
      <c r="P4" s="44" t="s">
        <v>145</v>
      </c>
      <c r="Q4" s="44" t="s">
        <v>84</v>
      </c>
      <c r="R4" s="44" t="s">
        <v>146</v>
      </c>
      <c r="S4" s="44" t="s">
        <v>147</v>
      </c>
      <c r="T4" s="44" t="s">
        <v>148</v>
      </c>
      <c r="U4" s="44" t="s">
        <v>85</v>
      </c>
      <c r="V4" s="40"/>
      <c r="W4" s="71"/>
      <c r="X4" s="72" t="s">
        <v>0</v>
      </c>
      <c r="Y4" s="71"/>
      <c r="AA4" s="57" t="s">
        <v>151</v>
      </c>
    </row>
    <row r="5" spans="1:29" ht="15" x14ac:dyDescent="0.3">
      <c r="B5" s="2"/>
      <c r="C5" s="40"/>
      <c r="D5" s="46" t="s">
        <v>37</v>
      </c>
      <c r="E5" s="47"/>
      <c r="F5" s="46" t="s">
        <v>37</v>
      </c>
      <c r="G5" s="46" t="s">
        <v>37</v>
      </c>
      <c r="H5" s="46" t="s">
        <v>37</v>
      </c>
      <c r="I5" s="46" t="s">
        <v>37</v>
      </c>
      <c r="J5" s="46" t="s">
        <v>37</v>
      </c>
      <c r="K5" s="46" t="s">
        <v>37</v>
      </c>
      <c r="L5" s="46" t="s">
        <v>37</v>
      </c>
      <c r="M5" s="46" t="s">
        <v>37</v>
      </c>
      <c r="N5" s="46" t="s">
        <v>37</v>
      </c>
      <c r="O5" s="46" t="s">
        <v>37</v>
      </c>
      <c r="P5" s="46" t="s">
        <v>37</v>
      </c>
      <c r="Q5" s="46" t="s">
        <v>37</v>
      </c>
      <c r="R5" s="46" t="s">
        <v>37</v>
      </c>
      <c r="S5" s="46" t="s">
        <v>37</v>
      </c>
      <c r="T5" s="46" t="s">
        <v>37</v>
      </c>
      <c r="U5" s="46" t="s">
        <v>37</v>
      </c>
      <c r="V5" s="40"/>
      <c r="W5" s="46" t="s">
        <v>1</v>
      </c>
      <c r="X5" s="46" t="s">
        <v>2</v>
      </c>
      <c r="Y5" s="46" t="s">
        <v>3</v>
      </c>
      <c r="AA5" s="38" t="s">
        <v>152</v>
      </c>
      <c r="AC5" s="106" t="s">
        <v>173</v>
      </c>
    </row>
    <row r="6" spans="1:29" ht="13" x14ac:dyDescent="0.3">
      <c r="A6" s="48" t="s">
        <v>4</v>
      </c>
      <c r="B6" s="2"/>
      <c r="C6" s="40"/>
      <c r="V6" s="40"/>
      <c r="W6" s="47"/>
      <c r="X6" s="47"/>
      <c r="Y6" s="47"/>
    </row>
    <row r="7" spans="1:29" ht="13" x14ac:dyDescent="0.3">
      <c r="A7" s="41"/>
      <c r="B7" s="41" t="s">
        <v>153</v>
      </c>
      <c r="C7" s="40"/>
      <c r="D7" s="49"/>
      <c r="E7" s="50"/>
      <c r="F7" s="49"/>
      <c r="G7" s="49"/>
      <c r="H7" s="49"/>
      <c r="I7" s="50">
        <f>SUM(F7:H7)</f>
        <v>0</v>
      </c>
      <c r="J7" s="49"/>
      <c r="K7" s="49"/>
      <c r="L7" s="49"/>
      <c r="M7" s="50">
        <f>SUM(J7:L7)</f>
        <v>0</v>
      </c>
      <c r="N7" s="49"/>
      <c r="O7" s="49"/>
      <c r="P7" s="49"/>
      <c r="Q7" s="50">
        <f>SUM(N7:P7)</f>
        <v>0</v>
      </c>
      <c r="R7" s="49"/>
      <c r="S7" s="49"/>
      <c r="T7" s="49"/>
      <c r="U7" s="50">
        <f>SUM(R7:T7)</f>
        <v>0</v>
      </c>
      <c r="V7" s="40"/>
      <c r="W7" s="50">
        <f>SUM(I7,M7,Q7,U7)</f>
        <v>0</v>
      </c>
      <c r="X7" s="50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3383818</v>
      </c>
      <c r="Y7" s="62">
        <f>W7-X7</f>
        <v>-3383818</v>
      </c>
      <c r="AA7" s="50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845954.5</v>
      </c>
    </row>
    <row r="8" spans="1:29" ht="13" x14ac:dyDescent="0.3">
      <c r="A8" s="41"/>
      <c r="B8" s="41" t="s">
        <v>154</v>
      </c>
      <c r="C8" s="40"/>
      <c r="D8" s="100"/>
      <c r="E8" s="50"/>
      <c r="F8" s="100"/>
      <c r="G8" s="100"/>
      <c r="H8" s="100"/>
      <c r="I8" s="50">
        <f>SUM(F8:H8)</f>
        <v>0</v>
      </c>
      <c r="J8" s="100"/>
      <c r="K8" s="100"/>
      <c r="L8" s="100"/>
      <c r="M8" s="50">
        <f>SUM(J8:L8)</f>
        <v>0</v>
      </c>
      <c r="N8" s="100"/>
      <c r="O8" s="100"/>
      <c r="P8" s="100"/>
      <c r="Q8" s="50">
        <f>SUM(N8:P8)</f>
        <v>0</v>
      </c>
      <c r="R8" s="100"/>
      <c r="S8" s="100"/>
      <c r="T8" s="100"/>
      <c r="U8" s="50">
        <f>SUM(R8:T8)</f>
        <v>0</v>
      </c>
      <c r="V8" s="40"/>
      <c r="W8" s="50">
        <f>SUM(I8,M8,Q8,U8)</f>
        <v>0</v>
      </c>
      <c r="X8" s="50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735121</v>
      </c>
      <c r="Y8" s="62">
        <f>W8-X8</f>
        <v>-735121</v>
      </c>
      <c r="AA8" s="50"/>
    </row>
    <row r="9" spans="1:29" ht="13" x14ac:dyDescent="0.3">
      <c r="A9" s="41"/>
      <c r="B9" s="41" t="s">
        <v>5</v>
      </c>
      <c r="C9" s="40"/>
      <c r="D9" s="49"/>
      <c r="E9" s="50"/>
      <c r="F9" s="49"/>
      <c r="G9" s="49"/>
      <c r="H9" s="49"/>
      <c r="I9" s="50">
        <f t="shared" ref="I9:I16" si="0">SUM(F9:H9)</f>
        <v>0</v>
      </c>
      <c r="J9" s="49"/>
      <c r="K9" s="49"/>
      <c r="L9" s="49"/>
      <c r="M9" s="50">
        <f t="shared" ref="M9:M16" si="1">SUM(J9:L9)</f>
        <v>0</v>
      </c>
      <c r="N9" s="49"/>
      <c r="O9" s="49"/>
      <c r="P9" s="49"/>
      <c r="Q9" s="50">
        <f t="shared" ref="Q9:Q16" si="2">SUM(N9:P9)</f>
        <v>0</v>
      </c>
      <c r="R9" s="49"/>
      <c r="S9" s="49"/>
      <c r="T9" s="49"/>
      <c r="U9" s="50">
        <f t="shared" ref="U9:U16" si="3">SUM(R9:T9)</f>
        <v>0</v>
      </c>
      <c r="V9" s="40"/>
      <c r="W9" s="50">
        <f t="shared" ref="W9:W15" si="4">SUM(I9,M9,Q9,U9)</f>
        <v>0</v>
      </c>
      <c r="X9" s="62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938662</v>
      </c>
      <c r="Y9" s="62">
        <f t="shared" ref="Y9:Y16" si="5">W9-X9</f>
        <v>-938662</v>
      </c>
    </row>
    <row r="10" spans="1:29" ht="13" x14ac:dyDescent="0.3">
      <c r="A10" s="41"/>
      <c r="B10" s="41" t="s">
        <v>167</v>
      </c>
      <c r="C10" s="40"/>
      <c r="D10" s="49"/>
      <c r="E10" s="50"/>
      <c r="F10" s="49"/>
      <c r="G10" s="49"/>
      <c r="H10" s="49"/>
      <c r="I10" s="50">
        <f t="shared" si="0"/>
        <v>0</v>
      </c>
      <c r="J10" s="49"/>
      <c r="K10" s="49"/>
      <c r="L10" s="49"/>
      <c r="M10" s="50">
        <f t="shared" si="1"/>
        <v>0</v>
      </c>
      <c r="N10" s="49"/>
      <c r="O10" s="49"/>
      <c r="P10" s="49"/>
      <c r="Q10" s="50">
        <f t="shared" si="2"/>
        <v>0</v>
      </c>
      <c r="R10" s="49"/>
      <c r="S10" s="49"/>
      <c r="T10" s="49"/>
      <c r="U10" s="50">
        <f t="shared" si="3"/>
        <v>0</v>
      </c>
      <c r="V10" s="40"/>
      <c r="W10" s="50">
        <f t="shared" si="4"/>
        <v>0</v>
      </c>
      <c r="X10" s="62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306383</v>
      </c>
      <c r="Y10" s="62">
        <f t="shared" si="5"/>
        <v>-306383</v>
      </c>
      <c r="AC10" s="57" t="s">
        <v>176</v>
      </c>
    </row>
    <row r="11" spans="1:29" ht="13" x14ac:dyDescent="0.3">
      <c r="A11" s="41"/>
      <c r="B11" s="41" t="s">
        <v>6</v>
      </c>
      <c r="C11" s="40"/>
      <c r="D11" s="49"/>
      <c r="E11" s="50"/>
      <c r="F11" s="49"/>
      <c r="G11" s="49"/>
      <c r="H11" s="49"/>
      <c r="I11" s="50">
        <f t="shared" si="0"/>
        <v>0</v>
      </c>
      <c r="J11" s="49"/>
      <c r="K11" s="49"/>
      <c r="L11" s="49"/>
      <c r="M11" s="50">
        <f t="shared" si="1"/>
        <v>0</v>
      </c>
      <c r="N11" s="49"/>
      <c r="O11" s="49"/>
      <c r="P11" s="49"/>
      <c r="Q11" s="50">
        <f t="shared" si="2"/>
        <v>0</v>
      </c>
      <c r="R11" s="49"/>
      <c r="S11" s="49"/>
      <c r="T11" s="49"/>
      <c r="U11" s="50">
        <f t="shared" si="3"/>
        <v>0</v>
      </c>
      <c r="V11" s="40"/>
      <c r="W11" s="50">
        <f t="shared" si="4"/>
        <v>0</v>
      </c>
      <c r="X11" s="62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115935.2</v>
      </c>
      <c r="Y11" s="62">
        <f t="shared" si="5"/>
        <v>-115935.2</v>
      </c>
      <c r="AC11" s="57" t="s">
        <v>177</v>
      </c>
    </row>
    <row r="12" spans="1:29" ht="13" x14ac:dyDescent="0.3">
      <c r="A12" s="41"/>
      <c r="B12" s="41" t="s">
        <v>7</v>
      </c>
      <c r="C12" s="40"/>
      <c r="D12" s="49"/>
      <c r="E12" s="50"/>
      <c r="F12" s="49"/>
      <c r="G12" s="49"/>
      <c r="H12" s="49"/>
      <c r="I12" s="50">
        <f t="shared" si="0"/>
        <v>0</v>
      </c>
      <c r="J12" s="49"/>
      <c r="K12" s="49"/>
      <c r="L12" s="49"/>
      <c r="M12" s="50">
        <f t="shared" si="1"/>
        <v>0</v>
      </c>
      <c r="N12" s="49"/>
      <c r="O12" s="49"/>
      <c r="P12" s="49"/>
      <c r="Q12" s="50">
        <f t="shared" si="2"/>
        <v>0</v>
      </c>
      <c r="R12" s="49"/>
      <c r="S12" s="49"/>
      <c r="T12" s="49"/>
      <c r="U12" s="50">
        <f t="shared" si="3"/>
        <v>0</v>
      </c>
      <c r="V12" s="40"/>
      <c r="W12" s="50">
        <f t="shared" si="4"/>
        <v>0</v>
      </c>
      <c r="X12" s="62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1135000</v>
      </c>
      <c r="Y12" s="62">
        <f t="shared" si="5"/>
        <v>-1135000</v>
      </c>
    </row>
    <row r="13" spans="1:29" ht="13" x14ac:dyDescent="0.3">
      <c r="A13" s="41"/>
      <c r="B13" s="41" t="s">
        <v>8</v>
      </c>
      <c r="C13" s="40"/>
      <c r="D13" s="49"/>
      <c r="E13" s="50"/>
      <c r="F13" s="49"/>
      <c r="G13" s="49"/>
      <c r="H13" s="49"/>
      <c r="I13" s="50">
        <f t="shared" si="0"/>
        <v>0</v>
      </c>
      <c r="J13" s="49"/>
      <c r="K13" s="49"/>
      <c r="L13" s="49"/>
      <c r="M13" s="50">
        <f t="shared" si="1"/>
        <v>0</v>
      </c>
      <c r="N13" s="49"/>
      <c r="O13" s="49"/>
      <c r="P13" s="49"/>
      <c r="Q13" s="50">
        <f t="shared" si="2"/>
        <v>0</v>
      </c>
      <c r="R13" s="49"/>
      <c r="S13" s="49"/>
      <c r="T13" s="49"/>
      <c r="U13" s="50">
        <f t="shared" si="3"/>
        <v>0</v>
      </c>
      <c r="V13" s="40"/>
      <c r="W13" s="50">
        <f t="shared" si="4"/>
        <v>0</v>
      </c>
      <c r="X13" s="62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2">
        <f t="shared" si="5"/>
        <v>0</v>
      </c>
    </row>
    <row r="14" spans="1:29" ht="13" x14ac:dyDescent="0.3">
      <c r="A14" s="41"/>
      <c r="B14" s="41" t="s">
        <v>155</v>
      </c>
      <c r="C14" s="40"/>
      <c r="D14" s="100"/>
      <c r="E14" s="50"/>
      <c r="F14" s="100"/>
      <c r="G14" s="100"/>
      <c r="H14" s="100"/>
      <c r="I14" s="50">
        <f t="shared" si="0"/>
        <v>0</v>
      </c>
      <c r="J14" s="100"/>
      <c r="K14" s="100"/>
      <c r="L14" s="100"/>
      <c r="M14" s="50">
        <f t="shared" si="1"/>
        <v>0</v>
      </c>
      <c r="N14" s="100"/>
      <c r="O14" s="100"/>
      <c r="P14" s="100"/>
      <c r="Q14" s="50">
        <f t="shared" si="2"/>
        <v>0</v>
      </c>
      <c r="R14" s="100"/>
      <c r="S14" s="100"/>
      <c r="T14" s="100"/>
      <c r="U14" s="50">
        <f t="shared" si="3"/>
        <v>0</v>
      </c>
      <c r="V14" s="40"/>
      <c r="W14" s="50">
        <f t="shared" si="4"/>
        <v>0</v>
      </c>
      <c r="X14" s="62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1108000</v>
      </c>
      <c r="Y14" s="62">
        <f t="shared" si="5"/>
        <v>-1108000</v>
      </c>
    </row>
    <row r="15" spans="1:29" ht="13" x14ac:dyDescent="0.3">
      <c r="A15" s="41"/>
      <c r="B15" s="41" t="s">
        <v>9</v>
      </c>
      <c r="C15" s="40"/>
      <c r="D15" s="49"/>
      <c r="E15" s="50"/>
      <c r="F15" s="49"/>
      <c r="G15" s="49"/>
      <c r="H15" s="49"/>
      <c r="I15" s="50">
        <f t="shared" si="0"/>
        <v>0</v>
      </c>
      <c r="J15" s="49"/>
      <c r="K15" s="49"/>
      <c r="L15" s="49"/>
      <c r="M15" s="50">
        <f t="shared" si="1"/>
        <v>0</v>
      </c>
      <c r="N15" s="49"/>
      <c r="O15" s="49"/>
      <c r="P15" s="49"/>
      <c r="Q15" s="50">
        <f t="shared" si="2"/>
        <v>0</v>
      </c>
      <c r="R15" s="49"/>
      <c r="S15" s="49"/>
      <c r="T15" s="49"/>
      <c r="U15" s="50">
        <f t="shared" si="3"/>
        <v>0</v>
      </c>
      <c r="V15" s="40"/>
      <c r="W15" s="50">
        <f t="shared" si="4"/>
        <v>0</v>
      </c>
      <c r="X15" s="62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45500</v>
      </c>
      <c r="Y15" s="62">
        <f t="shared" si="5"/>
        <v>-45500</v>
      </c>
    </row>
    <row r="16" spans="1:29" ht="13" x14ac:dyDescent="0.3">
      <c r="A16" s="41"/>
      <c r="B16" s="51" t="s">
        <v>10</v>
      </c>
      <c r="C16" s="40"/>
      <c r="D16" s="52">
        <f>SUM(D7:D15)</f>
        <v>0</v>
      </c>
      <c r="E16" s="53"/>
      <c r="F16" s="52">
        <f>SUM(F7:F15)</f>
        <v>0</v>
      </c>
      <c r="G16" s="52">
        <f>SUM(G7:G15)</f>
        <v>0</v>
      </c>
      <c r="H16" s="52">
        <f>SUM(H7:H15)</f>
        <v>0</v>
      </c>
      <c r="I16" s="52">
        <f t="shared" si="0"/>
        <v>0</v>
      </c>
      <c r="J16" s="52">
        <f>SUM(J7:J15)</f>
        <v>0</v>
      </c>
      <c r="K16" s="52">
        <f>SUM(K7:K15)</f>
        <v>0</v>
      </c>
      <c r="L16" s="52">
        <f>SUM(L7:L15)</f>
        <v>0</v>
      </c>
      <c r="M16" s="52">
        <f t="shared" si="1"/>
        <v>0</v>
      </c>
      <c r="N16" s="52">
        <f>SUM(N7:N15)</f>
        <v>0</v>
      </c>
      <c r="O16" s="52">
        <f>SUM(O7:O15)</f>
        <v>0</v>
      </c>
      <c r="P16" s="52">
        <f>SUM(P7:P15)</f>
        <v>0</v>
      </c>
      <c r="Q16" s="52">
        <f t="shared" si="2"/>
        <v>0</v>
      </c>
      <c r="R16" s="52">
        <f>SUM(R7:R15)</f>
        <v>0</v>
      </c>
      <c r="S16" s="52">
        <f>SUM(S7:S15)</f>
        <v>0</v>
      </c>
      <c r="T16" s="52">
        <f>SUM(T7:T15)</f>
        <v>0</v>
      </c>
      <c r="U16" s="52">
        <f t="shared" si="3"/>
        <v>0</v>
      </c>
      <c r="V16" s="40"/>
      <c r="W16" s="52">
        <f>SUM(W7:W15)</f>
        <v>0</v>
      </c>
      <c r="X16" s="52">
        <f>SUM(X7:X15)</f>
        <v>7768419.2000000002</v>
      </c>
      <c r="Y16" s="52">
        <f t="shared" si="5"/>
        <v>-7768419.2000000002</v>
      </c>
    </row>
    <row r="17" spans="1:25" ht="13" x14ac:dyDescent="0.3">
      <c r="A17" s="41"/>
      <c r="B17" s="54"/>
      <c r="C17" s="40"/>
      <c r="D17" s="55"/>
      <c r="E17" s="56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40"/>
      <c r="W17" s="55"/>
      <c r="X17" s="55"/>
      <c r="Y17" s="55"/>
    </row>
    <row r="18" spans="1:25" ht="13" x14ac:dyDescent="0.3">
      <c r="A18" s="57" t="s">
        <v>159</v>
      </c>
      <c r="B18" s="2"/>
      <c r="C18" s="4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40"/>
      <c r="W18" s="58"/>
      <c r="X18" s="58"/>
      <c r="Y18" s="58"/>
    </row>
    <row r="19" spans="1:25" ht="13.5" x14ac:dyDescent="0.35">
      <c r="A19" s="59" t="s">
        <v>11</v>
      </c>
      <c r="B19" s="2"/>
      <c r="C19" s="40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0"/>
      <c r="W19" s="2"/>
      <c r="X19" s="2"/>
      <c r="Y19" s="2"/>
    </row>
    <row r="20" spans="1:25" ht="13" x14ac:dyDescent="0.3">
      <c r="A20" s="41"/>
      <c r="B20" s="2" t="s">
        <v>12</v>
      </c>
      <c r="C20" s="40"/>
      <c r="D20" s="60"/>
      <c r="E20" s="61"/>
      <c r="F20" s="60"/>
      <c r="G20" s="60"/>
      <c r="H20" s="60"/>
      <c r="I20" s="62">
        <f t="shared" ref="I20:I27" si="6">SUM(F20:H20)</f>
        <v>0</v>
      </c>
      <c r="J20" s="60"/>
      <c r="K20" s="60"/>
      <c r="L20" s="60"/>
      <c r="M20" s="62">
        <f t="shared" ref="M20:M27" si="7">SUM(J20:L20)</f>
        <v>0</v>
      </c>
      <c r="N20" s="60"/>
      <c r="O20" s="60"/>
      <c r="P20" s="60"/>
      <c r="Q20" s="62">
        <f t="shared" ref="Q20:Q27" si="8">SUM(N20:P20)</f>
        <v>0</v>
      </c>
      <c r="R20" s="60"/>
      <c r="S20" s="60"/>
      <c r="T20" s="60"/>
      <c r="U20" s="62">
        <f t="shared" ref="U20:U27" si="9">SUM(R20:T20)</f>
        <v>0</v>
      </c>
      <c r="V20" s="40"/>
      <c r="W20" s="50">
        <f t="shared" ref="W20:W26" si="10">SUM(I20,M20,Q20,U20)</f>
        <v>0</v>
      </c>
      <c r="X20" s="62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145000</v>
      </c>
      <c r="Y20" s="62">
        <f>X20-W20</f>
        <v>145000</v>
      </c>
    </row>
    <row r="21" spans="1:25" ht="13" x14ac:dyDescent="0.3">
      <c r="A21" s="41"/>
      <c r="B21" s="2" t="s">
        <v>13</v>
      </c>
      <c r="C21" s="40"/>
      <c r="D21" s="60"/>
      <c r="E21" s="61"/>
      <c r="F21" s="60"/>
      <c r="G21" s="60"/>
      <c r="H21" s="60"/>
      <c r="I21" s="62">
        <f t="shared" si="6"/>
        <v>0</v>
      </c>
      <c r="J21" s="60"/>
      <c r="K21" s="60"/>
      <c r="L21" s="60"/>
      <c r="M21" s="62">
        <f t="shared" si="7"/>
        <v>0</v>
      </c>
      <c r="N21" s="60"/>
      <c r="O21" s="60"/>
      <c r="P21" s="60"/>
      <c r="Q21" s="62">
        <f t="shared" si="8"/>
        <v>0</v>
      </c>
      <c r="R21" s="60"/>
      <c r="S21" s="60"/>
      <c r="T21" s="60"/>
      <c r="U21" s="62">
        <f t="shared" si="9"/>
        <v>0</v>
      </c>
      <c r="V21" s="40"/>
      <c r="W21" s="50">
        <f t="shared" si="10"/>
        <v>0</v>
      </c>
      <c r="X21" s="62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1600000</v>
      </c>
      <c r="Y21" s="62">
        <f t="shared" ref="Y21:Y26" si="11">X21-W21</f>
        <v>1600000</v>
      </c>
    </row>
    <row r="22" spans="1:25" ht="13" x14ac:dyDescent="0.3">
      <c r="A22" s="41"/>
      <c r="B22" s="2" t="s">
        <v>14</v>
      </c>
      <c r="C22" s="40"/>
      <c r="D22" s="60"/>
      <c r="E22" s="61"/>
      <c r="F22" s="60"/>
      <c r="G22" s="60"/>
      <c r="H22" s="60"/>
      <c r="I22" s="62">
        <f t="shared" si="6"/>
        <v>0</v>
      </c>
      <c r="J22" s="60"/>
      <c r="K22" s="60"/>
      <c r="L22" s="60"/>
      <c r="M22" s="62">
        <f t="shared" si="7"/>
        <v>0</v>
      </c>
      <c r="N22" s="60"/>
      <c r="O22" s="60"/>
      <c r="P22" s="60"/>
      <c r="Q22" s="62">
        <f t="shared" si="8"/>
        <v>0</v>
      </c>
      <c r="R22" s="60"/>
      <c r="S22" s="60"/>
      <c r="T22" s="60"/>
      <c r="U22" s="62">
        <f t="shared" si="9"/>
        <v>0</v>
      </c>
      <c r="V22" s="40"/>
      <c r="W22" s="50">
        <f t="shared" si="10"/>
        <v>0</v>
      </c>
      <c r="X22" s="62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464322.96</v>
      </c>
      <c r="Y22" s="62">
        <f t="shared" si="11"/>
        <v>464322.96</v>
      </c>
    </row>
    <row r="23" spans="1:25" ht="13" x14ac:dyDescent="0.3">
      <c r="A23" s="41"/>
      <c r="B23" s="2" t="s">
        <v>15</v>
      </c>
      <c r="C23" s="40"/>
      <c r="D23" s="60"/>
      <c r="E23" s="61"/>
      <c r="F23" s="60"/>
      <c r="G23" s="60"/>
      <c r="H23" s="60"/>
      <c r="I23" s="62">
        <f t="shared" si="6"/>
        <v>0</v>
      </c>
      <c r="J23" s="60"/>
      <c r="K23" s="60"/>
      <c r="L23" s="60"/>
      <c r="M23" s="62">
        <f t="shared" si="7"/>
        <v>0</v>
      </c>
      <c r="N23" s="60"/>
      <c r="O23" s="60"/>
      <c r="P23" s="60"/>
      <c r="Q23" s="62">
        <f t="shared" si="8"/>
        <v>0</v>
      </c>
      <c r="R23" s="60"/>
      <c r="S23" s="60"/>
      <c r="T23" s="60"/>
      <c r="U23" s="62">
        <f t="shared" si="9"/>
        <v>0</v>
      </c>
      <c r="V23" s="40"/>
      <c r="W23" s="50">
        <f t="shared" si="10"/>
        <v>0</v>
      </c>
      <c r="X23" s="62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1025000</v>
      </c>
      <c r="Y23" s="62">
        <f t="shared" si="11"/>
        <v>1025000</v>
      </c>
    </row>
    <row r="24" spans="1:25" ht="13" x14ac:dyDescent="0.3">
      <c r="A24" s="41"/>
      <c r="B24" s="2" t="s">
        <v>16</v>
      </c>
      <c r="C24" s="40"/>
      <c r="D24" s="60"/>
      <c r="E24" s="61"/>
      <c r="F24" s="60"/>
      <c r="G24" s="60"/>
      <c r="H24" s="60"/>
      <c r="I24" s="62">
        <f t="shared" si="6"/>
        <v>0</v>
      </c>
      <c r="J24" s="60"/>
      <c r="K24" s="60"/>
      <c r="L24" s="60"/>
      <c r="M24" s="62">
        <f t="shared" si="7"/>
        <v>0</v>
      </c>
      <c r="N24" s="60"/>
      <c r="O24" s="60"/>
      <c r="P24" s="60"/>
      <c r="Q24" s="62">
        <f t="shared" si="8"/>
        <v>0</v>
      </c>
      <c r="R24" s="60"/>
      <c r="S24" s="60"/>
      <c r="T24" s="60"/>
      <c r="U24" s="62">
        <f t="shared" si="9"/>
        <v>0</v>
      </c>
      <c r="V24" s="40"/>
      <c r="W24" s="50">
        <f t="shared" si="10"/>
        <v>0</v>
      </c>
      <c r="X24" s="62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307263.01</v>
      </c>
      <c r="Y24" s="62">
        <f t="shared" si="11"/>
        <v>307263.01</v>
      </c>
    </row>
    <row r="25" spans="1:25" ht="13" x14ac:dyDescent="0.3">
      <c r="A25" s="41"/>
      <c r="B25" s="2" t="s">
        <v>168</v>
      </c>
      <c r="C25" s="40"/>
      <c r="D25" s="60"/>
      <c r="E25" s="61"/>
      <c r="F25" s="60"/>
      <c r="G25" s="60"/>
      <c r="H25" s="60"/>
      <c r="I25" s="62">
        <f t="shared" si="6"/>
        <v>0</v>
      </c>
      <c r="J25" s="60"/>
      <c r="K25" s="60"/>
      <c r="L25" s="60"/>
      <c r="M25" s="62">
        <f t="shared" si="7"/>
        <v>0</v>
      </c>
      <c r="N25" s="60"/>
      <c r="O25" s="60"/>
      <c r="P25" s="60"/>
      <c r="Q25" s="62">
        <f t="shared" si="8"/>
        <v>0</v>
      </c>
      <c r="R25" s="60"/>
      <c r="S25" s="60"/>
      <c r="T25" s="60"/>
      <c r="U25" s="62">
        <f t="shared" si="9"/>
        <v>0</v>
      </c>
      <c r="V25" s="40"/>
      <c r="W25" s="50">
        <f t="shared" si="10"/>
        <v>0</v>
      </c>
      <c r="X25" s="62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125490.20999999999</v>
      </c>
      <c r="Y25" s="62">
        <f t="shared" si="11"/>
        <v>125490.20999999999</v>
      </c>
    </row>
    <row r="26" spans="1:25" ht="13" x14ac:dyDescent="0.3">
      <c r="A26" s="41"/>
      <c r="B26" s="101" t="s">
        <v>169</v>
      </c>
      <c r="C26" s="40"/>
      <c r="D26" s="60"/>
      <c r="E26" s="61"/>
      <c r="F26" s="60"/>
      <c r="G26" s="60"/>
      <c r="H26" s="60"/>
      <c r="I26" s="102">
        <f t="shared" si="6"/>
        <v>0</v>
      </c>
      <c r="J26" s="99"/>
      <c r="K26" s="99"/>
      <c r="L26" s="99"/>
      <c r="M26" s="103">
        <f t="shared" si="7"/>
        <v>0</v>
      </c>
      <c r="N26" s="99"/>
      <c r="O26" s="99"/>
      <c r="P26" s="99"/>
      <c r="Q26" s="103">
        <f t="shared" si="8"/>
        <v>0</v>
      </c>
      <c r="R26" s="99"/>
      <c r="S26" s="99"/>
      <c r="T26" s="99"/>
      <c r="U26" s="103">
        <f t="shared" si="9"/>
        <v>0</v>
      </c>
      <c r="V26" s="104"/>
      <c r="W26" s="105">
        <f t="shared" si="10"/>
        <v>0</v>
      </c>
      <c r="X26" s="103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1147909.67</v>
      </c>
      <c r="Y26" s="103">
        <f t="shared" si="11"/>
        <v>1147909.67</v>
      </c>
    </row>
    <row r="27" spans="1:25" ht="13" x14ac:dyDescent="0.3">
      <c r="A27" s="2"/>
      <c r="B27" s="51" t="s">
        <v>17</v>
      </c>
      <c r="C27" s="40"/>
      <c r="D27" s="52">
        <f>SUM(D20:D26)</f>
        <v>0</v>
      </c>
      <c r="E27" s="53"/>
      <c r="F27" s="52">
        <f>SUM(F20:F26)</f>
        <v>0</v>
      </c>
      <c r="G27" s="52">
        <f>SUM(G20:G26)</f>
        <v>0</v>
      </c>
      <c r="H27" s="52">
        <f>SUM(H20:H26)</f>
        <v>0</v>
      </c>
      <c r="I27" s="52">
        <f t="shared" si="6"/>
        <v>0</v>
      </c>
      <c r="J27" s="52">
        <f>SUM(J20:J26)</f>
        <v>0</v>
      </c>
      <c r="K27" s="52">
        <f>SUM(K20:K26)</f>
        <v>0</v>
      </c>
      <c r="L27" s="52">
        <f>SUM(L20:L26)</f>
        <v>0</v>
      </c>
      <c r="M27" s="52">
        <f t="shared" si="7"/>
        <v>0</v>
      </c>
      <c r="N27" s="52">
        <f>SUM(N20:N26)</f>
        <v>0</v>
      </c>
      <c r="O27" s="52">
        <f>SUM(O20:O26)</f>
        <v>0</v>
      </c>
      <c r="P27" s="52">
        <f>SUM(P20:P26)</f>
        <v>0</v>
      </c>
      <c r="Q27" s="52">
        <f t="shared" si="8"/>
        <v>0</v>
      </c>
      <c r="R27" s="52">
        <f>SUM(R20:R26)</f>
        <v>0</v>
      </c>
      <c r="S27" s="52">
        <f>SUM(S20:S26)</f>
        <v>0</v>
      </c>
      <c r="T27" s="52">
        <f>SUM(T20:T26)</f>
        <v>0</v>
      </c>
      <c r="U27" s="52">
        <f t="shared" si="9"/>
        <v>0</v>
      </c>
      <c r="V27" s="40"/>
      <c r="W27" s="52">
        <f>SUM(W20:W26)</f>
        <v>0</v>
      </c>
      <c r="X27" s="52">
        <f>SUM(X20:X26)</f>
        <v>4814985.8499999996</v>
      </c>
      <c r="Y27" s="52">
        <f>X27-W27</f>
        <v>4814985.8499999996</v>
      </c>
    </row>
    <row r="28" spans="1:25" ht="13" x14ac:dyDescent="0.3">
      <c r="A28" s="2"/>
      <c r="C28" s="40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40"/>
      <c r="W28" s="56"/>
      <c r="X28" s="56"/>
      <c r="Y28" s="56"/>
    </row>
    <row r="29" spans="1:25" ht="13.5" x14ac:dyDescent="0.35">
      <c r="A29" s="59" t="s">
        <v>18</v>
      </c>
      <c r="B29" s="2"/>
      <c r="C29" s="40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0"/>
      <c r="W29" s="2"/>
      <c r="X29" s="2"/>
      <c r="Y29" s="2"/>
    </row>
    <row r="30" spans="1:25" ht="13" x14ac:dyDescent="0.3">
      <c r="A30" s="41"/>
      <c r="B30" s="2" t="s">
        <v>170</v>
      </c>
      <c r="C30" s="40"/>
      <c r="D30" s="60"/>
      <c r="E30" s="61"/>
      <c r="F30" s="60"/>
      <c r="G30" s="60"/>
      <c r="H30" s="60"/>
      <c r="I30" s="62">
        <f t="shared" ref="I30:I35" si="12">SUM(F30:H30)</f>
        <v>0</v>
      </c>
      <c r="J30" s="60"/>
      <c r="K30" s="60"/>
      <c r="L30" s="60"/>
      <c r="M30" s="62">
        <f t="shared" ref="M30:M35" si="13">SUM(J30:L30)</f>
        <v>0</v>
      </c>
      <c r="N30" s="60"/>
      <c r="O30" s="60"/>
      <c r="P30" s="60"/>
      <c r="Q30" s="62">
        <f t="shared" ref="Q30:Q35" si="14">SUM(N30:P30)</f>
        <v>0</v>
      </c>
      <c r="R30" s="60"/>
      <c r="S30" s="60"/>
      <c r="T30" s="60"/>
      <c r="U30" s="62">
        <f t="shared" ref="U30:U35" si="15">SUM(R30:T30)</f>
        <v>0</v>
      </c>
      <c r="V30" s="40"/>
      <c r="W30" s="50">
        <f t="shared" ref="W30:W34" si="16">SUM(I30,M30,Q30,U30)</f>
        <v>0</v>
      </c>
      <c r="X30" s="62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141000</v>
      </c>
      <c r="Y30" s="62">
        <f t="shared" ref="Y30:Y34" si="17">X30-W30</f>
        <v>141000</v>
      </c>
    </row>
    <row r="31" spans="1:25" ht="13" x14ac:dyDescent="0.3">
      <c r="A31" s="41"/>
      <c r="B31" s="2" t="s">
        <v>171</v>
      </c>
      <c r="C31" s="40"/>
      <c r="D31" s="60"/>
      <c r="E31" s="61"/>
      <c r="F31" s="60"/>
      <c r="G31" s="60"/>
      <c r="H31" s="60"/>
      <c r="I31" s="62">
        <f t="shared" si="12"/>
        <v>0</v>
      </c>
      <c r="J31" s="60"/>
      <c r="K31" s="60"/>
      <c r="L31" s="60"/>
      <c r="M31" s="62">
        <f t="shared" si="13"/>
        <v>0</v>
      </c>
      <c r="N31" s="60"/>
      <c r="O31" s="60"/>
      <c r="P31" s="60"/>
      <c r="Q31" s="62">
        <f t="shared" si="14"/>
        <v>0</v>
      </c>
      <c r="R31" s="60"/>
      <c r="S31" s="60"/>
      <c r="T31" s="60"/>
      <c r="U31" s="62">
        <f t="shared" si="15"/>
        <v>0</v>
      </c>
      <c r="V31" s="40"/>
      <c r="W31" s="50">
        <f t="shared" si="16"/>
        <v>0</v>
      </c>
      <c r="X31" s="62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25000</v>
      </c>
      <c r="Y31" s="62">
        <f t="shared" si="17"/>
        <v>25000</v>
      </c>
    </row>
    <row r="32" spans="1:25" ht="13" x14ac:dyDescent="0.3">
      <c r="A32" s="41"/>
      <c r="B32" s="2" t="s">
        <v>19</v>
      </c>
      <c r="C32" s="40"/>
      <c r="D32" s="60"/>
      <c r="E32" s="61"/>
      <c r="F32" s="60"/>
      <c r="G32" s="60"/>
      <c r="H32" s="60"/>
      <c r="I32" s="62">
        <f t="shared" si="12"/>
        <v>0</v>
      </c>
      <c r="J32" s="60"/>
      <c r="K32" s="60"/>
      <c r="L32" s="60"/>
      <c r="M32" s="62">
        <f t="shared" si="13"/>
        <v>0</v>
      </c>
      <c r="N32" s="60"/>
      <c r="O32" s="60"/>
      <c r="P32" s="60"/>
      <c r="Q32" s="62">
        <f t="shared" si="14"/>
        <v>0</v>
      </c>
      <c r="R32" s="60"/>
      <c r="S32" s="60"/>
      <c r="T32" s="60"/>
      <c r="U32" s="62">
        <f t="shared" si="15"/>
        <v>0</v>
      </c>
      <c r="V32" s="40"/>
      <c r="W32" s="50">
        <f t="shared" si="16"/>
        <v>0</v>
      </c>
      <c r="X32" s="62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145000</v>
      </c>
      <c r="Y32" s="62">
        <f t="shared" si="17"/>
        <v>145000</v>
      </c>
    </row>
    <row r="33" spans="1:29" ht="13" x14ac:dyDescent="0.3">
      <c r="A33" s="41"/>
      <c r="B33" s="41" t="s">
        <v>32</v>
      </c>
      <c r="C33" s="40"/>
      <c r="D33" s="60"/>
      <c r="E33" s="61"/>
      <c r="F33" s="60"/>
      <c r="G33" s="60"/>
      <c r="H33" s="60"/>
      <c r="I33" s="62">
        <f>SUM(F33:H33)</f>
        <v>0</v>
      </c>
      <c r="J33" s="60"/>
      <c r="K33" s="60"/>
      <c r="L33" s="60"/>
      <c r="M33" s="62">
        <f>SUM(J33:L33)</f>
        <v>0</v>
      </c>
      <c r="N33" s="60"/>
      <c r="O33" s="60"/>
      <c r="P33" s="60"/>
      <c r="Q33" s="62">
        <f>SUM(N33:P33)</f>
        <v>0</v>
      </c>
      <c r="R33" s="60"/>
      <c r="S33" s="60"/>
      <c r="T33" s="60"/>
      <c r="U33" s="62">
        <f>SUM(R33:T33)</f>
        <v>0</v>
      </c>
      <c r="V33" s="40"/>
      <c r="W33" s="50">
        <f>SUM(I33,M33,Q33,U33)</f>
        <v>0</v>
      </c>
      <c r="X33" s="62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213599.86133333331</v>
      </c>
      <c r="Y33" s="62">
        <f>X33-W33</f>
        <v>213599.86133333331</v>
      </c>
    </row>
    <row r="34" spans="1:29" ht="13" x14ac:dyDescent="0.3">
      <c r="A34" s="41"/>
      <c r="B34" s="2" t="s">
        <v>172</v>
      </c>
      <c r="C34" s="40"/>
      <c r="D34" s="60"/>
      <c r="E34" s="61"/>
      <c r="F34" s="60"/>
      <c r="G34" s="60"/>
      <c r="H34" s="60"/>
      <c r="I34" s="62">
        <f t="shared" si="12"/>
        <v>0</v>
      </c>
      <c r="J34" s="60"/>
      <c r="K34" s="60"/>
      <c r="L34" s="60"/>
      <c r="M34" s="62">
        <f t="shared" si="13"/>
        <v>0</v>
      </c>
      <c r="N34" s="60"/>
      <c r="O34" s="60"/>
      <c r="P34" s="60"/>
      <c r="Q34" s="62">
        <f t="shared" si="14"/>
        <v>0</v>
      </c>
      <c r="R34" s="60"/>
      <c r="S34" s="60"/>
      <c r="T34" s="60"/>
      <c r="U34" s="62">
        <f t="shared" si="15"/>
        <v>0</v>
      </c>
      <c r="V34" s="40"/>
      <c r="W34" s="50">
        <f t="shared" si="16"/>
        <v>0</v>
      </c>
      <c r="X34" s="62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179500</v>
      </c>
      <c r="Y34" s="62">
        <f t="shared" si="17"/>
        <v>179500</v>
      </c>
    </row>
    <row r="35" spans="1:29" ht="13" x14ac:dyDescent="0.3">
      <c r="A35" s="2"/>
      <c r="B35" s="51" t="s">
        <v>20</v>
      </c>
      <c r="C35" s="40"/>
      <c r="D35" s="52">
        <f>SUM(D30:D34)</f>
        <v>0</v>
      </c>
      <c r="E35" s="53"/>
      <c r="F35" s="52">
        <f>SUM(F30:F34)</f>
        <v>0</v>
      </c>
      <c r="G35" s="52">
        <f>SUM(G30:G34)</f>
        <v>0</v>
      </c>
      <c r="H35" s="52">
        <f>SUM(H30:H34)</f>
        <v>0</v>
      </c>
      <c r="I35" s="52">
        <f t="shared" si="12"/>
        <v>0</v>
      </c>
      <c r="J35" s="52">
        <f>SUM(J30:J34)</f>
        <v>0</v>
      </c>
      <c r="K35" s="52">
        <f>SUM(K30:K34)</f>
        <v>0</v>
      </c>
      <c r="L35" s="52">
        <f>SUM(L30:L34)</f>
        <v>0</v>
      </c>
      <c r="M35" s="52">
        <f t="shared" si="13"/>
        <v>0</v>
      </c>
      <c r="N35" s="52">
        <f>SUM(N30:N34)</f>
        <v>0</v>
      </c>
      <c r="O35" s="52">
        <f>SUM(O30:O34)</f>
        <v>0</v>
      </c>
      <c r="P35" s="52">
        <f>SUM(P30:P34)</f>
        <v>0</v>
      </c>
      <c r="Q35" s="52">
        <f t="shared" si="14"/>
        <v>0</v>
      </c>
      <c r="R35" s="52">
        <f>SUM(R30:R34)</f>
        <v>0</v>
      </c>
      <c r="S35" s="52">
        <f>SUM(S30:S34)</f>
        <v>0</v>
      </c>
      <c r="T35" s="52">
        <f>SUM(T30:T34)</f>
        <v>0</v>
      </c>
      <c r="U35" s="52">
        <f t="shared" si="15"/>
        <v>0</v>
      </c>
      <c r="V35" s="40"/>
      <c r="W35" s="52">
        <f>SUM(W30:W34)</f>
        <v>0</v>
      </c>
      <c r="X35" s="52">
        <f>SUM(X30:X34)</f>
        <v>704099.86133333331</v>
      </c>
      <c r="Y35" s="52">
        <f>X35-W35</f>
        <v>704099.86133333331</v>
      </c>
      <c r="Z35" s="42"/>
    </row>
    <row r="36" spans="1:29" ht="13" x14ac:dyDescent="0.3">
      <c r="A36" s="48"/>
      <c r="B36" s="48"/>
      <c r="C36" s="40"/>
      <c r="D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0"/>
      <c r="W36" s="41"/>
      <c r="X36" s="41"/>
      <c r="Y36" s="41"/>
    </row>
    <row r="37" spans="1:29" ht="13.5" x14ac:dyDescent="0.35">
      <c r="A37" s="63" t="s">
        <v>21</v>
      </c>
      <c r="B37" s="41"/>
      <c r="C37" s="40"/>
      <c r="D37" s="62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40"/>
      <c r="W37" s="62"/>
      <c r="X37" s="62"/>
      <c r="Y37" s="62"/>
    </row>
    <row r="38" spans="1:29" ht="13" x14ac:dyDescent="0.3">
      <c r="A38" s="41"/>
      <c r="B38" s="41" t="s">
        <v>22</v>
      </c>
      <c r="C38" s="40"/>
      <c r="D38" s="60"/>
      <c r="E38" s="61"/>
      <c r="F38" s="60"/>
      <c r="G38" s="60"/>
      <c r="H38" s="60"/>
      <c r="I38" s="62">
        <f t="shared" ref="I38:I40" si="18">SUM(F38:H38)</f>
        <v>0</v>
      </c>
      <c r="J38" s="60"/>
      <c r="K38" s="60"/>
      <c r="L38" s="60"/>
      <c r="M38" s="62">
        <f t="shared" ref="M38:M44" si="19">SUM(J38:L38)</f>
        <v>0</v>
      </c>
      <c r="N38" s="60"/>
      <c r="O38" s="60"/>
      <c r="P38" s="60"/>
      <c r="Q38" s="62">
        <f t="shared" ref="Q38:Q44" si="20">SUM(N38:P38)</f>
        <v>0</v>
      </c>
      <c r="R38" s="60"/>
      <c r="S38" s="60"/>
      <c r="T38" s="60"/>
      <c r="U38" s="62">
        <f t="shared" ref="U38:U44" si="21">SUM(R38:T38)</f>
        <v>0</v>
      </c>
      <c r="V38" s="40"/>
      <c r="W38" s="50">
        <f t="shared" ref="W38:W43" si="22">SUM(I38,M38,Q38,U38)</f>
        <v>0</v>
      </c>
      <c r="X38" s="62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1008000</v>
      </c>
      <c r="Y38" s="62">
        <f t="shared" ref="Y38:Y44" si="23">X38-W38</f>
        <v>1008000</v>
      </c>
    </row>
    <row r="39" spans="1:29" ht="13" x14ac:dyDescent="0.3">
      <c r="A39" s="41"/>
      <c r="B39" s="41" t="s">
        <v>156</v>
      </c>
      <c r="C39" s="40"/>
      <c r="D39" s="99"/>
      <c r="E39" s="61"/>
      <c r="F39" s="99"/>
      <c r="G39" s="99"/>
      <c r="H39" s="99"/>
      <c r="I39" s="62">
        <f t="shared" si="18"/>
        <v>0</v>
      </c>
      <c r="J39" s="99"/>
      <c r="K39" s="99"/>
      <c r="L39" s="99"/>
      <c r="M39" s="62">
        <f t="shared" si="19"/>
        <v>0</v>
      </c>
      <c r="N39" s="99"/>
      <c r="O39" s="99"/>
      <c r="P39" s="99"/>
      <c r="Q39" s="62">
        <f t="shared" si="20"/>
        <v>0</v>
      </c>
      <c r="R39" s="99"/>
      <c r="S39" s="99"/>
      <c r="T39" s="99"/>
      <c r="U39" s="62">
        <f t="shared" si="21"/>
        <v>0</v>
      </c>
      <c r="V39" s="40"/>
      <c r="W39" s="50">
        <f t="shared" si="22"/>
        <v>0</v>
      </c>
      <c r="X39" s="62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2">
        <f t="shared" si="23"/>
        <v>0</v>
      </c>
      <c r="AC39" s="57" t="s">
        <v>179</v>
      </c>
    </row>
    <row r="40" spans="1:29" ht="13" x14ac:dyDescent="0.3">
      <c r="A40" s="41"/>
      <c r="B40" s="41" t="s">
        <v>157</v>
      </c>
      <c r="C40" s="40"/>
      <c r="D40" s="99"/>
      <c r="E40" s="61"/>
      <c r="F40" s="99"/>
      <c r="G40" s="99"/>
      <c r="H40" s="99"/>
      <c r="I40" s="62">
        <f t="shared" si="18"/>
        <v>0</v>
      </c>
      <c r="J40" s="99"/>
      <c r="K40" s="99"/>
      <c r="L40" s="99"/>
      <c r="M40" s="62">
        <f t="shared" si="19"/>
        <v>0</v>
      </c>
      <c r="N40" s="99"/>
      <c r="O40" s="99"/>
      <c r="P40" s="99"/>
      <c r="Q40" s="62">
        <f t="shared" si="20"/>
        <v>0</v>
      </c>
      <c r="R40" s="99"/>
      <c r="S40" s="99"/>
      <c r="T40" s="99"/>
      <c r="U40" s="62">
        <f t="shared" si="21"/>
        <v>0</v>
      </c>
      <c r="V40" s="40"/>
      <c r="W40" s="50">
        <f t="shared" si="22"/>
        <v>0</v>
      </c>
      <c r="X40" s="62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2">
        <f t="shared" si="23"/>
        <v>0</v>
      </c>
      <c r="AC40" s="57" t="s">
        <v>180</v>
      </c>
    </row>
    <row r="41" spans="1:29" ht="13" x14ac:dyDescent="0.3">
      <c r="A41" s="41"/>
      <c r="B41" s="41" t="s">
        <v>23</v>
      </c>
      <c r="C41" s="40"/>
      <c r="D41" s="60"/>
      <c r="E41" s="61"/>
      <c r="F41" s="60"/>
      <c r="G41" s="60"/>
      <c r="H41" s="60"/>
      <c r="I41" s="62">
        <f t="shared" ref="I41:I44" si="24">SUM(F41:H41)</f>
        <v>0</v>
      </c>
      <c r="J41" s="60"/>
      <c r="K41" s="60"/>
      <c r="L41" s="60"/>
      <c r="M41" s="62">
        <f t="shared" si="19"/>
        <v>0</v>
      </c>
      <c r="N41" s="60"/>
      <c r="O41" s="60"/>
      <c r="P41" s="60"/>
      <c r="Q41" s="62">
        <f t="shared" si="20"/>
        <v>0</v>
      </c>
      <c r="R41" s="60"/>
      <c r="S41" s="60"/>
      <c r="T41" s="60"/>
      <c r="U41" s="62">
        <f t="shared" si="21"/>
        <v>0</v>
      </c>
      <c r="V41" s="40"/>
      <c r="W41" s="50">
        <f t="shared" si="22"/>
        <v>0</v>
      </c>
      <c r="X41" s="62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50000</v>
      </c>
      <c r="Y41" s="62">
        <f t="shared" si="23"/>
        <v>50000</v>
      </c>
    </row>
    <row r="42" spans="1:29" ht="13" x14ac:dyDescent="0.3">
      <c r="A42" s="41"/>
      <c r="B42" s="41" t="s">
        <v>24</v>
      </c>
      <c r="C42" s="40"/>
      <c r="D42" s="60"/>
      <c r="E42" s="61"/>
      <c r="F42" s="60"/>
      <c r="G42" s="60"/>
      <c r="H42" s="60"/>
      <c r="I42" s="62">
        <f t="shared" si="24"/>
        <v>0</v>
      </c>
      <c r="J42" s="60"/>
      <c r="K42" s="60"/>
      <c r="L42" s="60"/>
      <c r="M42" s="62">
        <f t="shared" si="19"/>
        <v>0</v>
      </c>
      <c r="N42" s="60"/>
      <c r="O42" s="60"/>
      <c r="P42" s="60"/>
      <c r="Q42" s="62">
        <f t="shared" si="20"/>
        <v>0</v>
      </c>
      <c r="R42" s="60"/>
      <c r="S42" s="60"/>
      <c r="T42" s="60"/>
      <c r="U42" s="62">
        <f t="shared" si="21"/>
        <v>0</v>
      </c>
      <c r="V42" s="40"/>
      <c r="W42" s="50">
        <f t="shared" si="22"/>
        <v>0</v>
      </c>
      <c r="X42" s="62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130000</v>
      </c>
      <c r="Y42" s="62">
        <f t="shared" si="23"/>
        <v>130000</v>
      </c>
    </row>
    <row r="43" spans="1:29" ht="13" x14ac:dyDescent="0.3">
      <c r="A43" s="41"/>
      <c r="B43" s="41" t="s">
        <v>158</v>
      </c>
      <c r="C43" s="40"/>
      <c r="D43" s="60"/>
      <c r="E43" s="61"/>
      <c r="F43" s="60"/>
      <c r="G43" s="60"/>
      <c r="H43" s="60"/>
      <c r="I43" s="62">
        <f t="shared" si="24"/>
        <v>0</v>
      </c>
      <c r="J43" s="60"/>
      <c r="K43" s="60"/>
      <c r="L43" s="60"/>
      <c r="M43" s="62">
        <f t="shared" si="19"/>
        <v>0</v>
      </c>
      <c r="N43" s="60"/>
      <c r="O43" s="60"/>
      <c r="P43" s="60"/>
      <c r="Q43" s="62">
        <f t="shared" si="20"/>
        <v>0</v>
      </c>
      <c r="R43" s="60"/>
      <c r="S43" s="60"/>
      <c r="T43" s="60"/>
      <c r="U43" s="62">
        <f t="shared" si="21"/>
        <v>0</v>
      </c>
      <c r="V43" s="40"/>
      <c r="W43" s="50">
        <f t="shared" si="22"/>
        <v>0</v>
      </c>
      <c r="X43" s="62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50000</v>
      </c>
      <c r="Y43" s="62">
        <f t="shared" si="23"/>
        <v>50000</v>
      </c>
    </row>
    <row r="44" spans="1:29" ht="13" x14ac:dyDescent="0.3">
      <c r="A44" s="41"/>
      <c r="B44" s="51" t="s">
        <v>25</v>
      </c>
      <c r="C44" s="40"/>
      <c r="D44" s="52">
        <f>SUM(D38:D43)</f>
        <v>0</v>
      </c>
      <c r="E44" s="53"/>
      <c r="F44" s="52">
        <f>SUM(F38:F43)</f>
        <v>0</v>
      </c>
      <c r="G44" s="52">
        <f>SUM(G38:G43)</f>
        <v>0</v>
      </c>
      <c r="H44" s="52">
        <f>SUM(H38:H43)</f>
        <v>0</v>
      </c>
      <c r="I44" s="52">
        <f t="shared" si="24"/>
        <v>0</v>
      </c>
      <c r="J44" s="52">
        <f>SUM(J38:J43)</f>
        <v>0</v>
      </c>
      <c r="K44" s="52">
        <f>SUM(K38:K43)</f>
        <v>0</v>
      </c>
      <c r="L44" s="52">
        <f>SUM(L38:L43)</f>
        <v>0</v>
      </c>
      <c r="M44" s="52">
        <f t="shared" si="19"/>
        <v>0</v>
      </c>
      <c r="N44" s="52">
        <f>SUM(N38:N43)</f>
        <v>0</v>
      </c>
      <c r="O44" s="52">
        <f>SUM(O38:O43)</f>
        <v>0</v>
      </c>
      <c r="P44" s="52">
        <f>SUM(P38:P43)</f>
        <v>0</v>
      </c>
      <c r="Q44" s="52">
        <f t="shared" si="20"/>
        <v>0</v>
      </c>
      <c r="R44" s="52">
        <f>SUM(R38:R43)</f>
        <v>0</v>
      </c>
      <c r="S44" s="52">
        <f>SUM(S38:S43)</f>
        <v>0</v>
      </c>
      <c r="T44" s="52">
        <f>SUM(T38:T43)</f>
        <v>0</v>
      </c>
      <c r="U44" s="52">
        <f t="shared" si="21"/>
        <v>0</v>
      </c>
      <c r="V44" s="40"/>
      <c r="W44" s="52">
        <f>SUM(W38:W43)</f>
        <v>0</v>
      </c>
      <c r="X44" s="52">
        <f>SUM(X38:X43)</f>
        <v>1238000</v>
      </c>
      <c r="Y44" s="52">
        <f t="shared" si="23"/>
        <v>1238000</v>
      </c>
    </row>
    <row r="45" spans="1:29" ht="13" x14ac:dyDescent="0.3">
      <c r="A45" s="41"/>
      <c r="B45" s="48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40"/>
      <c r="W45" s="56"/>
      <c r="X45" s="56"/>
      <c r="Y45" s="56"/>
    </row>
    <row r="46" spans="1:29" ht="13.5" x14ac:dyDescent="0.35">
      <c r="A46" s="63" t="s">
        <v>160</v>
      </c>
      <c r="B46" s="41"/>
      <c r="C46" s="40"/>
      <c r="D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0"/>
      <c r="W46" s="41"/>
      <c r="X46" s="41"/>
      <c r="Y46" s="41"/>
    </row>
    <row r="47" spans="1:29" ht="13" x14ac:dyDescent="0.3">
      <c r="A47" s="41"/>
      <c r="B47" s="41" t="s">
        <v>26</v>
      </c>
      <c r="C47" s="40"/>
      <c r="D47" s="60"/>
      <c r="E47" s="61"/>
      <c r="F47" s="60"/>
      <c r="G47" s="60"/>
      <c r="H47" s="60"/>
      <c r="I47" s="62">
        <f t="shared" ref="I47" si="25">SUM(F47:H47)</f>
        <v>0</v>
      </c>
      <c r="J47" s="60"/>
      <c r="K47" s="60"/>
      <c r="L47" s="60"/>
      <c r="M47" s="62">
        <f t="shared" ref="M47:M59" si="26">SUM(J47:L47)</f>
        <v>0</v>
      </c>
      <c r="N47" s="60"/>
      <c r="O47" s="60"/>
      <c r="P47" s="60"/>
      <c r="Q47" s="62">
        <f t="shared" ref="Q47:Q59" si="27">SUM(N47:P47)</f>
        <v>0</v>
      </c>
      <c r="R47" s="60"/>
      <c r="S47" s="60"/>
      <c r="T47" s="60"/>
      <c r="U47" s="62">
        <f t="shared" ref="U47:U59" si="28">SUM(R47:T47)</f>
        <v>0</v>
      </c>
      <c r="V47" s="40"/>
      <c r="W47" s="50">
        <f t="shared" ref="W47:W58" si="29">SUM(I47,M47,Q47,U47)</f>
        <v>0</v>
      </c>
      <c r="X47" s="62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100000</v>
      </c>
      <c r="Y47" s="62">
        <f t="shared" ref="Y47:Y59" si="30">X47-W47</f>
        <v>100000</v>
      </c>
    </row>
    <row r="48" spans="1:29" ht="13" x14ac:dyDescent="0.3">
      <c r="A48" s="41"/>
      <c r="B48" s="41" t="s">
        <v>27</v>
      </c>
      <c r="C48" s="40"/>
      <c r="D48" s="60"/>
      <c r="E48" s="61"/>
      <c r="F48" s="60"/>
      <c r="G48" s="60"/>
      <c r="H48" s="60"/>
      <c r="I48" s="62">
        <f t="shared" ref="I48:I59" si="31">SUM(F48:H48)</f>
        <v>0</v>
      </c>
      <c r="J48" s="60"/>
      <c r="K48" s="60"/>
      <c r="L48" s="60"/>
      <c r="M48" s="62">
        <f t="shared" si="26"/>
        <v>0</v>
      </c>
      <c r="N48" s="60"/>
      <c r="O48" s="60"/>
      <c r="P48" s="60"/>
      <c r="Q48" s="62">
        <f t="shared" si="27"/>
        <v>0</v>
      </c>
      <c r="R48" s="60"/>
      <c r="S48" s="60"/>
      <c r="T48" s="60"/>
      <c r="U48" s="62">
        <f t="shared" si="28"/>
        <v>0</v>
      </c>
      <c r="V48" s="40"/>
      <c r="W48" s="50">
        <f t="shared" si="29"/>
        <v>0</v>
      </c>
      <c r="X48" s="62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30000</v>
      </c>
      <c r="Y48" s="62">
        <f t="shared" si="30"/>
        <v>30000</v>
      </c>
    </row>
    <row r="49" spans="1:29" ht="13" x14ac:dyDescent="0.3">
      <c r="A49" s="41"/>
      <c r="B49" s="41" t="s">
        <v>28</v>
      </c>
      <c r="C49" s="40"/>
      <c r="D49" s="60"/>
      <c r="E49" s="61"/>
      <c r="F49" s="60"/>
      <c r="G49" s="60"/>
      <c r="H49" s="60"/>
      <c r="I49" s="62">
        <f t="shared" si="31"/>
        <v>0</v>
      </c>
      <c r="J49" s="60"/>
      <c r="K49" s="60"/>
      <c r="L49" s="60"/>
      <c r="M49" s="62">
        <f t="shared" si="26"/>
        <v>0</v>
      </c>
      <c r="N49" s="60"/>
      <c r="O49" s="60"/>
      <c r="P49" s="60"/>
      <c r="Q49" s="62">
        <f t="shared" si="27"/>
        <v>0</v>
      </c>
      <c r="R49" s="60"/>
      <c r="S49" s="60"/>
      <c r="T49" s="60"/>
      <c r="U49" s="62">
        <f t="shared" si="28"/>
        <v>0</v>
      </c>
      <c r="V49" s="40"/>
      <c r="W49" s="50">
        <f t="shared" si="29"/>
        <v>0</v>
      </c>
      <c r="X49" s="62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40000</v>
      </c>
      <c r="Y49" s="62">
        <f t="shared" si="30"/>
        <v>40000</v>
      </c>
    </row>
    <row r="50" spans="1:29" ht="13" x14ac:dyDescent="0.3">
      <c r="A50" s="41"/>
      <c r="B50" s="41" t="s">
        <v>29</v>
      </c>
      <c r="C50" s="40"/>
      <c r="D50" s="60"/>
      <c r="E50" s="61"/>
      <c r="F50" s="60"/>
      <c r="G50" s="60"/>
      <c r="H50" s="60"/>
      <c r="I50" s="62">
        <f t="shared" si="31"/>
        <v>0</v>
      </c>
      <c r="J50" s="60"/>
      <c r="K50" s="60"/>
      <c r="L50" s="60"/>
      <c r="M50" s="62">
        <f t="shared" si="26"/>
        <v>0</v>
      </c>
      <c r="N50" s="60"/>
      <c r="O50" s="60"/>
      <c r="P50" s="60"/>
      <c r="Q50" s="62">
        <f t="shared" si="27"/>
        <v>0</v>
      </c>
      <c r="R50" s="60"/>
      <c r="S50" s="60"/>
      <c r="T50" s="60"/>
      <c r="U50" s="62">
        <f t="shared" si="28"/>
        <v>0</v>
      </c>
      <c r="V50" s="40"/>
      <c r="W50" s="50">
        <f t="shared" si="29"/>
        <v>0</v>
      </c>
      <c r="X50" s="62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174645.92</v>
      </c>
      <c r="Y50" s="62">
        <f t="shared" si="30"/>
        <v>174645.92</v>
      </c>
    </row>
    <row r="51" spans="1:29" ht="13" x14ac:dyDescent="0.3">
      <c r="A51" s="41"/>
      <c r="B51" s="41" t="s">
        <v>30</v>
      </c>
      <c r="C51" s="40"/>
      <c r="D51" s="60"/>
      <c r="E51" s="61"/>
      <c r="F51" s="60"/>
      <c r="G51" s="60"/>
      <c r="H51" s="60"/>
      <c r="I51" s="62">
        <f t="shared" si="31"/>
        <v>0</v>
      </c>
      <c r="J51" s="60"/>
      <c r="K51" s="60"/>
      <c r="L51" s="60"/>
      <c r="M51" s="62">
        <f t="shared" si="26"/>
        <v>0</v>
      </c>
      <c r="N51" s="60"/>
      <c r="O51" s="60"/>
      <c r="P51" s="60"/>
      <c r="Q51" s="62">
        <f t="shared" si="27"/>
        <v>0</v>
      </c>
      <c r="R51" s="60"/>
      <c r="S51" s="60"/>
      <c r="T51" s="60"/>
      <c r="U51" s="62">
        <f t="shared" si="28"/>
        <v>0</v>
      </c>
      <c r="V51" s="40"/>
      <c r="W51" s="50">
        <f t="shared" si="29"/>
        <v>0</v>
      </c>
      <c r="X51" s="62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60000</v>
      </c>
      <c r="Y51" s="62">
        <f t="shared" si="30"/>
        <v>60000</v>
      </c>
    </row>
    <row r="52" spans="1:29" ht="13" x14ac:dyDescent="0.3">
      <c r="A52" s="41"/>
      <c r="B52" s="41" t="s">
        <v>31</v>
      </c>
      <c r="C52" s="40"/>
      <c r="D52" s="60"/>
      <c r="E52" s="61"/>
      <c r="F52" s="60"/>
      <c r="G52" s="60"/>
      <c r="H52" s="60"/>
      <c r="I52" s="62">
        <f t="shared" si="31"/>
        <v>0</v>
      </c>
      <c r="J52" s="60"/>
      <c r="K52" s="60"/>
      <c r="L52" s="60"/>
      <c r="M52" s="62">
        <f t="shared" si="26"/>
        <v>0</v>
      </c>
      <c r="N52" s="60"/>
      <c r="O52" s="60"/>
      <c r="P52" s="60"/>
      <c r="Q52" s="62">
        <f t="shared" si="27"/>
        <v>0</v>
      </c>
      <c r="R52" s="60"/>
      <c r="S52" s="60"/>
      <c r="T52" s="60"/>
      <c r="U52" s="62">
        <f t="shared" si="28"/>
        <v>0</v>
      </c>
      <c r="V52" s="40"/>
      <c r="W52" s="50">
        <f t="shared" si="29"/>
        <v>0</v>
      </c>
      <c r="X52" s="62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62">
        <f t="shared" si="30"/>
        <v>0</v>
      </c>
    </row>
    <row r="53" spans="1:29" ht="13" x14ac:dyDescent="0.3">
      <c r="A53" s="41"/>
      <c r="B53" s="41" t="s">
        <v>161</v>
      </c>
      <c r="C53" s="40"/>
      <c r="D53" s="99"/>
      <c r="E53" s="61"/>
      <c r="F53" s="99"/>
      <c r="G53" s="99"/>
      <c r="H53" s="99"/>
      <c r="I53" s="62">
        <f t="shared" si="31"/>
        <v>0</v>
      </c>
      <c r="J53" s="99"/>
      <c r="K53" s="99"/>
      <c r="L53" s="99"/>
      <c r="M53" s="62">
        <f t="shared" si="26"/>
        <v>0</v>
      </c>
      <c r="N53" s="99"/>
      <c r="O53" s="99"/>
      <c r="P53" s="99"/>
      <c r="Q53" s="62">
        <f t="shared" si="27"/>
        <v>0</v>
      </c>
      <c r="R53" s="99"/>
      <c r="S53" s="99"/>
      <c r="T53" s="99"/>
      <c r="U53" s="62">
        <f t="shared" si="28"/>
        <v>0</v>
      </c>
      <c r="V53" s="40"/>
      <c r="W53" s="50">
        <f t="shared" si="29"/>
        <v>0</v>
      </c>
      <c r="X53" s="62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206000</v>
      </c>
      <c r="Y53" s="62">
        <f t="shared" si="30"/>
        <v>206000</v>
      </c>
    </row>
    <row r="54" spans="1:29" ht="13" x14ac:dyDescent="0.3">
      <c r="A54" s="41"/>
      <c r="B54" s="41" t="s">
        <v>162</v>
      </c>
      <c r="C54" s="40"/>
      <c r="D54" s="99"/>
      <c r="E54" s="61"/>
      <c r="F54" s="99"/>
      <c r="G54" s="99"/>
      <c r="H54" s="99"/>
      <c r="I54" s="62">
        <f t="shared" si="31"/>
        <v>0</v>
      </c>
      <c r="J54" s="99"/>
      <c r="K54" s="99"/>
      <c r="L54" s="99"/>
      <c r="M54" s="62">
        <f t="shared" si="26"/>
        <v>0</v>
      </c>
      <c r="N54" s="99"/>
      <c r="O54" s="99"/>
      <c r="P54" s="99"/>
      <c r="Q54" s="62">
        <f t="shared" si="27"/>
        <v>0</v>
      </c>
      <c r="R54" s="99"/>
      <c r="S54" s="99"/>
      <c r="T54" s="99"/>
      <c r="U54" s="62">
        <f t="shared" si="28"/>
        <v>0</v>
      </c>
      <c r="V54" s="40"/>
      <c r="W54" s="50">
        <f t="shared" si="29"/>
        <v>0</v>
      </c>
      <c r="X54" s="62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60000</v>
      </c>
      <c r="Y54" s="62">
        <f t="shared" si="30"/>
        <v>60000</v>
      </c>
    </row>
    <row r="55" spans="1:29" ht="13" x14ac:dyDescent="0.3">
      <c r="A55" s="41"/>
      <c r="B55" s="41" t="s">
        <v>33</v>
      </c>
      <c r="C55" s="40"/>
      <c r="D55" s="99"/>
      <c r="E55" s="61"/>
      <c r="F55" s="99"/>
      <c r="G55" s="99"/>
      <c r="H55" s="99"/>
      <c r="I55" s="62">
        <f t="shared" si="31"/>
        <v>0</v>
      </c>
      <c r="J55" s="99"/>
      <c r="K55" s="99"/>
      <c r="L55" s="99"/>
      <c r="M55" s="62">
        <f t="shared" si="26"/>
        <v>0</v>
      </c>
      <c r="N55" s="99"/>
      <c r="O55" s="99"/>
      <c r="P55" s="99"/>
      <c r="Q55" s="62">
        <f t="shared" si="27"/>
        <v>0</v>
      </c>
      <c r="R55" s="99"/>
      <c r="S55" s="99"/>
      <c r="T55" s="99"/>
      <c r="U55" s="62">
        <f t="shared" si="28"/>
        <v>0</v>
      </c>
      <c r="V55" s="40"/>
      <c r="W55" s="50">
        <f t="shared" si="29"/>
        <v>0</v>
      </c>
      <c r="X55" s="62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2">
        <f t="shared" si="30"/>
        <v>0</v>
      </c>
    </row>
    <row r="56" spans="1:29" ht="13" x14ac:dyDescent="0.3">
      <c r="A56" s="41"/>
      <c r="B56" s="41" t="s">
        <v>163</v>
      </c>
      <c r="C56" s="40"/>
      <c r="D56" s="99"/>
      <c r="E56" s="61"/>
      <c r="F56" s="99"/>
      <c r="G56" s="99"/>
      <c r="H56" s="99"/>
      <c r="I56" s="62">
        <f t="shared" si="31"/>
        <v>0</v>
      </c>
      <c r="J56" s="99"/>
      <c r="K56" s="99"/>
      <c r="L56" s="99"/>
      <c r="M56" s="62">
        <f t="shared" si="26"/>
        <v>0</v>
      </c>
      <c r="N56" s="99"/>
      <c r="O56" s="99"/>
      <c r="P56" s="99"/>
      <c r="Q56" s="62">
        <f t="shared" si="27"/>
        <v>0</v>
      </c>
      <c r="R56" s="99"/>
      <c r="S56" s="99"/>
      <c r="T56" s="99"/>
      <c r="U56" s="62">
        <f t="shared" si="28"/>
        <v>0</v>
      </c>
      <c r="V56" s="40"/>
      <c r="W56" s="50">
        <f t="shared" si="29"/>
        <v>0</v>
      </c>
      <c r="X56" s="62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2">
        <f t="shared" si="30"/>
        <v>0</v>
      </c>
      <c r="AC56" s="57" t="s">
        <v>181</v>
      </c>
    </row>
    <row r="57" spans="1:29" ht="13" x14ac:dyDescent="0.3">
      <c r="A57" s="41"/>
      <c r="B57" s="41" t="s">
        <v>164</v>
      </c>
      <c r="C57" s="40"/>
      <c r="D57" s="99"/>
      <c r="E57" s="61"/>
      <c r="F57" s="99"/>
      <c r="G57" s="99"/>
      <c r="H57" s="99"/>
      <c r="I57" s="62">
        <f t="shared" si="31"/>
        <v>0</v>
      </c>
      <c r="J57" s="99"/>
      <c r="K57" s="99"/>
      <c r="L57" s="99"/>
      <c r="M57" s="62">
        <f t="shared" si="26"/>
        <v>0</v>
      </c>
      <c r="N57" s="99"/>
      <c r="O57" s="99"/>
      <c r="P57" s="99"/>
      <c r="Q57" s="62">
        <f t="shared" si="27"/>
        <v>0</v>
      </c>
      <c r="R57" s="99"/>
      <c r="S57" s="99"/>
      <c r="T57" s="99"/>
      <c r="U57" s="62">
        <f t="shared" si="28"/>
        <v>0</v>
      </c>
      <c r="V57" s="40"/>
      <c r="W57" s="50">
        <f t="shared" si="29"/>
        <v>0</v>
      </c>
      <c r="X57" s="62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62069.36</v>
      </c>
      <c r="Y57" s="62">
        <f t="shared" si="30"/>
        <v>62069.36</v>
      </c>
      <c r="AC57" s="57" t="s">
        <v>182</v>
      </c>
    </row>
    <row r="58" spans="1:29" ht="13" x14ac:dyDescent="0.3">
      <c r="A58" s="41"/>
      <c r="B58" s="41" t="s">
        <v>34</v>
      </c>
      <c r="C58" s="40"/>
      <c r="D58" s="60"/>
      <c r="E58" s="61"/>
      <c r="F58" s="60"/>
      <c r="G58" s="60"/>
      <c r="H58" s="60"/>
      <c r="I58" s="62">
        <f t="shared" si="31"/>
        <v>0</v>
      </c>
      <c r="J58" s="60"/>
      <c r="K58" s="60"/>
      <c r="L58" s="60"/>
      <c r="M58" s="62">
        <f t="shared" si="26"/>
        <v>0</v>
      </c>
      <c r="N58" s="60"/>
      <c r="O58" s="60"/>
      <c r="P58" s="60"/>
      <c r="Q58" s="62">
        <f t="shared" si="27"/>
        <v>0</v>
      </c>
      <c r="R58" s="60"/>
      <c r="S58" s="60"/>
      <c r="T58" s="60"/>
      <c r="U58" s="62">
        <f t="shared" si="28"/>
        <v>0</v>
      </c>
      <c r="V58" s="40"/>
      <c r="W58" s="50">
        <f t="shared" si="29"/>
        <v>0</v>
      </c>
      <c r="X58" s="62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229200</v>
      </c>
      <c r="Y58" s="62">
        <f t="shared" si="30"/>
        <v>229200</v>
      </c>
    </row>
    <row r="59" spans="1:29" ht="13" x14ac:dyDescent="0.3">
      <c r="A59" s="41"/>
      <c r="B59" s="51" t="s">
        <v>35</v>
      </c>
      <c r="C59" s="40"/>
      <c r="D59" s="52">
        <f>SUM(D47:D58)</f>
        <v>0</v>
      </c>
      <c r="E59" s="53"/>
      <c r="F59" s="52">
        <f>SUM(F47:F58)</f>
        <v>0</v>
      </c>
      <c r="G59" s="52">
        <f t="shared" ref="G59:H59" si="32">SUM(G47:G58)</f>
        <v>0</v>
      </c>
      <c r="H59" s="52">
        <f t="shared" si="32"/>
        <v>0</v>
      </c>
      <c r="I59" s="52">
        <f t="shared" si="31"/>
        <v>0</v>
      </c>
      <c r="J59" s="52">
        <f>SUM(J47:J58)</f>
        <v>0</v>
      </c>
      <c r="K59" s="52">
        <f t="shared" ref="K59" si="33">SUM(K47:K58)</f>
        <v>0</v>
      </c>
      <c r="L59" s="52">
        <f t="shared" ref="L59" si="34">SUM(L47:L58)</f>
        <v>0</v>
      </c>
      <c r="M59" s="52">
        <f t="shared" si="26"/>
        <v>0</v>
      </c>
      <c r="N59" s="52">
        <f>SUM(N47:N58)</f>
        <v>0</v>
      </c>
      <c r="O59" s="52">
        <f t="shared" ref="O59" si="35">SUM(O47:O58)</f>
        <v>0</v>
      </c>
      <c r="P59" s="52">
        <f t="shared" ref="P59" si="36">SUM(P47:P58)</f>
        <v>0</v>
      </c>
      <c r="Q59" s="52">
        <f t="shared" si="27"/>
        <v>0</v>
      </c>
      <c r="R59" s="52">
        <f>SUM(R47:R58)</f>
        <v>0</v>
      </c>
      <c r="S59" s="52">
        <f t="shared" ref="S59" si="37">SUM(S47:S58)</f>
        <v>0</v>
      </c>
      <c r="T59" s="52">
        <f t="shared" ref="T59" si="38">SUM(T47:T58)</f>
        <v>0</v>
      </c>
      <c r="U59" s="52">
        <f t="shared" si="28"/>
        <v>0</v>
      </c>
      <c r="V59" s="40"/>
      <c r="W59" s="52">
        <f>SUM(W47:W58)</f>
        <v>0</v>
      </c>
      <c r="X59" s="52">
        <f>SUM(X47:X58)</f>
        <v>961915.28</v>
      </c>
      <c r="Y59" s="52">
        <f t="shared" si="30"/>
        <v>961915.28</v>
      </c>
    </row>
    <row r="60" spans="1:29" ht="13" x14ac:dyDescent="0.3">
      <c r="A60" s="41"/>
      <c r="B60" s="48"/>
      <c r="C60" s="40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40"/>
      <c r="W60" s="56"/>
      <c r="X60" s="56"/>
      <c r="Y60" s="56"/>
    </row>
    <row r="61" spans="1:29" ht="13" x14ac:dyDescent="0.3">
      <c r="A61" s="41"/>
      <c r="B61" s="51" t="s">
        <v>165</v>
      </c>
      <c r="C61" s="40"/>
      <c r="D61" s="52">
        <f>D59+D44+D35+D27</f>
        <v>0</v>
      </c>
      <c r="E61" s="53"/>
      <c r="F61" s="52">
        <f t="shared" ref="F61:U61" si="39">F59+F44+F35+F27</f>
        <v>0</v>
      </c>
      <c r="G61" s="52">
        <f t="shared" si="39"/>
        <v>0</v>
      </c>
      <c r="H61" s="52">
        <f t="shared" si="39"/>
        <v>0</v>
      </c>
      <c r="I61" s="52">
        <f t="shared" si="39"/>
        <v>0</v>
      </c>
      <c r="J61" s="52">
        <f t="shared" si="39"/>
        <v>0</v>
      </c>
      <c r="K61" s="52">
        <f t="shared" si="39"/>
        <v>0</v>
      </c>
      <c r="L61" s="52">
        <f t="shared" si="39"/>
        <v>0</v>
      </c>
      <c r="M61" s="52">
        <f t="shared" si="39"/>
        <v>0</v>
      </c>
      <c r="N61" s="52">
        <f t="shared" si="39"/>
        <v>0</v>
      </c>
      <c r="O61" s="52">
        <f t="shared" si="39"/>
        <v>0</v>
      </c>
      <c r="P61" s="52">
        <f t="shared" si="39"/>
        <v>0</v>
      </c>
      <c r="Q61" s="52">
        <f t="shared" si="39"/>
        <v>0</v>
      </c>
      <c r="R61" s="52">
        <f t="shared" si="39"/>
        <v>0</v>
      </c>
      <c r="S61" s="52">
        <f t="shared" si="39"/>
        <v>0</v>
      </c>
      <c r="T61" s="52">
        <f t="shared" si="39"/>
        <v>0</v>
      </c>
      <c r="U61" s="52">
        <f t="shared" si="39"/>
        <v>0</v>
      </c>
      <c r="V61" s="40"/>
      <c r="W61" s="52">
        <f>W59+W44+W35+W27</f>
        <v>0</v>
      </c>
      <c r="X61" s="52">
        <f>X59+X44+X35+X27</f>
        <v>7719000.9913333338</v>
      </c>
      <c r="Y61" s="52">
        <f t="shared" ref="Y61:Y62" si="40">X61-W61</f>
        <v>7719000.9913333338</v>
      </c>
    </row>
    <row r="62" spans="1:29" ht="12.75" customHeight="1" x14ac:dyDescent="0.3">
      <c r="A62" s="54" t="s">
        <v>166</v>
      </c>
      <c r="B62" s="51"/>
      <c r="C62" s="40"/>
      <c r="D62" s="52">
        <f>D16-D61</f>
        <v>0</v>
      </c>
      <c r="E62" s="53"/>
      <c r="F62" s="52">
        <f t="shared" ref="F62:U62" si="41">F16-F61</f>
        <v>0</v>
      </c>
      <c r="G62" s="52">
        <f t="shared" si="41"/>
        <v>0</v>
      </c>
      <c r="H62" s="52">
        <f t="shared" si="41"/>
        <v>0</v>
      </c>
      <c r="I62" s="52">
        <f t="shared" si="41"/>
        <v>0</v>
      </c>
      <c r="J62" s="52">
        <f t="shared" si="41"/>
        <v>0</v>
      </c>
      <c r="K62" s="52">
        <f t="shared" si="41"/>
        <v>0</v>
      </c>
      <c r="L62" s="52">
        <f t="shared" si="41"/>
        <v>0</v>
      </c>
      <c r="M62" s="52">
        <f t="shared" si="41"/>
        <v>0</v>
      </c>
      <c r="N62" s="52">
        <f t="shared" si="41"/>
        <v>0</v>
      </c>
      <c r="O62" s="52">
        <f t="shared" si="41"/>
        <v>0</v>
      </c>
      <c r="P62" s="52">
        <f t="shared" si="41"/>
        <v>0</v>
      </c>
      <c r="Q62" s="52">
        <f t="shared" si="41"/>
        <v>0</v>
      </c>
      <c r="R62" s="52">
        <f t="shared" si="41"/>
        <v>0</v>
      </c>
      <c r="S62" s="52">
        <f t="shared" si="41"/>
        <v>0</v>
      </c>
      <c r="T62" s="52">
        <f t="shared" si="41"/>
        <v>0</v>
      </c>
      <c r="U62" s="52">
        <f t="shared" si="41"/>
        <v>0</v>
      </c>
      <c r="V62" s="40"/>
      <c r="W62" s="52">
        <f>W16-W61</f>
        <v>0</v>
      </c>
      <c r="X62" s="52">
        <f>X16-X61</f>
        <v>49418.208666666411</v>
      </c>
      <c r="Y62" s="52">
        <f t="shared" si="40"/>
        <v>49418.208666666411</v>
      </c>
    </row>
    <row r="63" spans="1:29" ht="12.75" customHeight="1" x14ac:dyDescent="0.3">
      <c r="A63" s="54"/>
      <c r="B63" s="48"/>
      <c r="C63" s="40"/>
      <c r="D63" s="65"/>
      <c r="E63" s="53"/>
      <c r="F63" s="65"/>
      <c r="G63" s="65"/>
      <c r="H63" s="65"/>
      <c r="I63" s="53"/>
      <c r="J63" s="65"/>
      <c r="K63" s="65"/>
      <c r="L63" s="65"/>
      <c r="M63" s="53"/>
      <c r="N63" s="65"/>
      <c r="O63" s="65"/>
      <c r="P63" s="65"/>
      <c r="Q63" s="53"/>
      <c r="R63" s="65"/>
      <c r="S63" s="65"/>
      <c r="T63" s="65"/>
      <c r="U63" s="53"/>
      <c r="V63" s="40"/>
      <c r="W63" s="53"/>
      <c r="X63" s="53"/>
      <c r="Y63" s="53"/>
    </row>
    <row r="64" spans="1:29" ht="13" x14ac:dyDescent="0.3">
      <c r="A64" s="54" t="s">
        <v>36</v>
      </c>
      <c r="B64" s="51"/>
      <c r="C64" s="40"/>
      <c r="D64" s="52">
        <f>D62</f>
        <v>0</v>
      </c>
      <c r="E64" s="53"/>
      <c r="F64" s="52">
        <f t="shared" ref="F64:U64" si="42">F62</f>
        <v>0</v>
      </c>
      <c r="G64" s="52">
        <f t="shared" si="42"/>
        <v>0</v>
      </c>
      <c r="H64" s="52">
        <f t="shared" si="42"/>
        <v>0</v>
      </c>
      <c r="I64" s="52">
        <f t="shared" si="42"/>
        <v>0</v>
      </c>
      <c r="J64" s="52">
        <f t="shared" si="42"/>
        <v>0</v>
      </c>
      <c r="K64" s="52">
        <f t="shared" si="42"/>
        <v>0</v>
      </c>
      <c r="L64" s="52">
        <f t="shared" si="42"/>
        <v>0</v>
      </c>
      <c r="M64" s="52">
        <f t="shared" si="42"/>
        <v>0</v>
      </c>
      <c r="N64" s="52">
        <f t="shared" si="42"/>
        <v>0</v>
      </c>
      <c r="O64" s="52">
        <f t="shared" si="42"/>
        <v>0</v>
      </c>
      <c r="P64" s="52">
        <f t="shared" si="42"/>
        <v>0</v>
      </c>
      <c r="Q64" s="52">
        <f t="shared" si="42"/>
        <v>0</v>
      </c>
      <c r="R64" s="52">
        <f t="shared" si="42"/>
        <v>0</v>
      </c>
      <c r="S64" s="52">
        <f t="shared" si="42"/>
        <v>0</v>
      </c>
      <c r="T64" s="52">
        <f t="shared" si="42"/>
        <v>0</v>
      </c>
      <c r="U64" s="52">
        <f t="shared" si="42"/>
        <v>0</v>
      </c>
      <c r="V64" s="40"/>
      <c r="W64" s="52">
        <f>W62</f>
        <v>0</v>
      </c>
      <c r="X64" s="52">
        <f>X62</f>
        <v>49418.208666666411</v>
      </c>
      <c r="Y64" s="73">
        <f t="shared" ref="Y64" si="43">X64-W64</f>
        <v>49418.208666666411</v>
      </c>
    </row>
    <row r="66" spans="1:21" ht="12.75" customHeight="1" x14ac:dyDescent="0.3">
      <c r="A66" s="48" t="s">
        <v>129</v>
      </c>
    </row>
    <row r="67" spans="1:21" ht="12.75" customHeight="1" x14ac:dyDescent="0.3">
      <c r="B67" s="38" t="s">
        <v>130</v>
      </c>
      <c r="D67" s="60"/>
      <c r="F67" s="60"/>
      <c r="G67" s="60"/>
      <c r="H67" s="60"/>
      <c r="I67" s="62">
        <f t="shared" ref="I67:I69" si="44">SUM(F67:H67)</f>
        <v>0</v>
      </c>
      <c r="J67" s="60"/>
      <c r="K67" s="60"/>
      <c r="L67" s="60"/>
      <c r="M67" s="62">
        <f t="shared" ref="M67:M70" si="45">SUM(J67:L67)</f>
        <v>0</v>
      </c>
      <c r="N67" s="60"/>
      <c r="O67" s="60"/>
      <c r="P67" s="60"/>
      <c r="Q67" s="62">
        <f t="shared" ref="Q67:Q70" si="46">SUM(N67:P67)</f>
        <v>0</v>
      </c>
      <c r="R67" s="60"/>
      <c r="S67" s="60"/>
      <c r="T67" s="60"/>
      <c r="U67" s="62">
        <f t="shared" ref="U67:U70" si="47">SUM(R67:T67)</f>
        <v>0</v>
      </c>
    </row>
    <row r="68" spans="1:21" ht="12.75" customHeight="1" x14ac:dyDescent="0.3">
      <c r="B68" s="38" t="s">
        <v>131</v>
      </c>
      <c r="D68" s="60"/>
      <c r="F68" s="60"/>
      <c r="G68" s="60"/>
      <c r="H68" s="60"/>
      <c r="I68" s="62">
        <f t="shared" si="44"/>
        <v>0</v>
      </c>
      <c r="J68" s="60"/>
      <c r="K68" s="60"/>
      <c r="L68" s="60"/>
      <c r="M68" s="62">
        <f t="shared" si="45"/>
        <v>0</v>
      </c>
      <c r="N68" s="60"/>
      <c r="O68" s="60"/>
      <c r="P68" s="60"/>
      <c r="Q68" s="62">
        <f t="shared" si="46"/>
        <v>0</v>
      </c>
      <c r="R68" s="60"/>
      <c r="S68" s="60"/>
      <c r="T68" s="60"/>
      <c r="U68" s="62">
        <f t="shared" si="47"/>
        <v>0</v>
      </c>
    </row>
    <row r="69" spans="1:21" ht="12.75" customHeight="1" x14ac:dyDescent="0.3">
      <c r="B69" s="38" t="s">
        <v>132</v>
      </c>
      <c r="D69" s="60"/>
      <c r="F69" s="60"/>
      <c r="G69" s="60"/>
      <c r="H69" s="60"/>
      <c r="I69" s="62">
        <f t="shared" si="44"/>
        <v>0</v>
      </c>
      <c r="J69" s="60"/>
      <c r="K69" s="60"/>
      <c r="L69" s="60"/>
      <c r="M69" s="62">
        <f t="shared" si="45"/>
        <v>0</v>
      </c>
      <c r="N69" s="60"/>
      <c r="O69" s="60"/>
      <c r="P69" s="60"/>
      <c r="Q69" s="62">
        <f t="shared" si="46"/>
        <v>0</v>
      </c>
      <c r="R69" s="60"/>
      <c r="S69" s="60"/>
      <c r="T69" s="60"/>
      <c r="U69" s="62">
        <f t="shared" si="47"/>
        <v>0</v>
      </c>
    </row>
    <row r="70" spans="1:21" ht="12.75" customHeight="1" x14ac:dyDescent="0.3">
      <c r="A70" s="57" t="s">
        <v>133</v>
      </c>
      <c r="D70" s="42">
        <f>SUM(D67:D69,D64)</f>
        <v>0</v>
      </c>
      <c r="F70" s="42">
        <f>SUM(F67:F69,F64)</f>
        <v>0</v>
      </c>
      <c r="G70" s="42">
        <f>SUM(G67:G69,G64)</f>
        <v>0</v>
      </c>
      <c r="H70" s="42">
        <f>SUM(H67:H69,H64)</f>
        <v>0</v>
      </c>
      <c r="I70" s="62">
        <f>SUM(F70:H70)</f>
        <v>0</v>
      </c>
      <c r="J70" s="42">
        <f t="shared" ref="J70:L70" si="48">SUM(J67:J69,J64)</f>
        <v>0</v>
      </c>
      <c r="K70" s="42">
        <f t="shared" si="48"/>
        <v>0</v>
      </c>
      <c r="L70" s="42">
        <f t="shared" si="48"/>
        <v>0</v>
      </c>
      <c r="M70" s="62">
        <f t="shared" si="45"/>
        <v>0</v>
      </c>
      <c r="N70" s="42">
        <f t="shared" ref="N70" si="49">SUM(N67:N69,N64)</f>
        <v>0</v>
      </c>
      <c r="O70" s="42">
        <f t="shared" ref="O70" si="50">SUM(O67:O69,O64)</f>
        <v>0</v>
      </c>
      <c r="P70" s="42">
        <f t="shared" ref="P70" si="51">SUM(P67:P69,P64)</f>
        <v>0</v>
      </c>
      <c r="Q70" s="62">
        <f t="shared" si="46"/>
        <v>0</v>
      </c>
      <c r="R70" s="42">
        <f t="shared" ref="R70" si="52">SUM(R67:R69,R64)</f>
        <v>0</v>
      </c>
      <c r="S70" s="42">
        <f t="shared" ref="S70" si="53">SUM(S67:S69,S64)</f>
        <v>0</v>
      </c>
      <c r="T70" s="42">
        <f t="shared" ref="T70" si="54">SUM(T67:T69,T64)</f>
        <v>0</v>
      </c>
      <c r="U70" s="62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>
      <selection activeCell="F6" sqref="F6"/>
    </sheetView>
  </sheetViews>
  <sheetFormatPr defaultColWidth="9.1796875" defaultRowHeight="13" x14ac:dyDescent="0.3"/>
  <cols>
    <col min="1" max="1" width="2" style="67" customWidth="1"/>
    <col min="2" max="2" width="9.1796875" style="67"/>
    <col min="3" max="3" width="20.1796875" style="67" customWidth="1"/>
    <col min="4" max="4" width="12.26953125" style="67" customWidth="1"/>
    <col min="5" max="5" width="11.26953125" style="67" customWidth="1"/>
    <col min="6" max="6" width="9.1796875" style="67"/>
    <col min="7" max="7" width="19.7265625" style="67" customWidth="1"/>
    <col min="8" max="8" width="20" style="67" customWidth="1"/>
    <col min="9" max="9" width="25.1796875" style="67" customWidth="1"/>
    <col min="10" max="10" width="27" style="67" customWidth="1"/>
    <col min="11" max="16384" width="9.1796875" style="67"/>
  </cols>
  <sheetData>
    <row r="1" spans="1:13" x14ac:dyDescent="0.3">
      <c r="A1" s="66" t="str">
        <f>'Cover Sheet'!A2</f>
        <v>Enter School Name: Howard University Middle School of Mathematics &amp; Science PCS</v>
      </c>
    </row>
    <row r="2" spans="1:13" x14ac:dyDescent="0.3">
      <c r="A2" s="38" t="str">
        <f>'Cover Sheet'!A8&amp;" "&amp;'Cover Sheet'!$A$9&amp;" Balance Sheet"</f>
        <v>Enter Fiscal Year: SY18-19 Enter Period Balance Sheet</v>
      </c>
    </row>
    <row r="3" spans="1:13" x14ac:dyDescent="0.3">
      <c r="B3" s="118"/>
      <c r="C3" s="118"/>
      <c r="D3" s="118"/>
      <c r="E3" s="118"/>
      <c r="F3" s="118"/>
      <c r="G3" s="118"/>
      <c r="H3" s="74"/>
      <c r="I3" s="74"/>
      <c r="J3" s="74"/>
    </row>
    <row r="4" spans="1:13" x14ac:dyDescent="0.3">
      <c r="B4" s="74"/>
      <c r="C4" s="74"/>
      <c r="D4" s="74"/>
      <c r="E4" s="75" t="s">
        <v>113</v>
      </c>
      <c r="F4" s="76"/>
      <c r="G4" s="75" t="s">
        <v>82</v>
      </c>
      <c r="H4" s="75" t="s">
        <v>83</v>
      </c>
      <c r="I4" s="75" t="s">
        <v>84</v>
      </c>
      <c r="J4" s="75" t="s">
        <v>85</v>
      </c>
    </row>
    <row r="5" spans="1:13" ht="15.5" thickBot="1" x14ac:dyDescent="0.35">
      <c r="B5" s="74"/>
      <c r="C5" s="74"/>
      <c r="D5" s="74"/>
      <c r="E5" s="77" t="s">
        <v>149</v>
      </c>
      <c r="F5" s="78"/>
      <c r="G5" s="77" t="s">
        <v>86</v>
      </c>
      <c r="H5" s="77" t="s">
        <v>87</v>
      </c>
      <c r="I5" s="77" t="s">
        <v>88</v>
      </c>
      <c r="J5" s="77" t="s">
        <v>89</v>
      </c>
      <c r="M5" s="106" t="s">
        <v>173</v>
      </c>
    </row>
    <row r="6" spans="1:13" x14ac:dyDescent="0.3">
      <c r="A6" s="90" t="s">
        <v>90</v>
      </c>
      <c r="B6" s="79"/>
      <c r="C6" s="79"/>
      <c r="E6" s="80"/>
      <c r="F6" s="78"/>
      <c r="G6" s="80"/>
      <c r="H6" s="80"/>
      <c r="I6" s="80"/>
      <c r="J6" s="80"/>
    </row>
    <row r="7" spans="1:13" x14ac:dyDescent="0.3">
      <c r="B7" s="74"/>
      <c r="C7" s="74"/>
      <c r="D7" s="74"/>
      <c r="E7" s="74"/>
      <c r="F7" s="74"/>
      <c r="G7" s="74"/>
      <c r="H7" s="74"/>
      <c r="I7" s="74"/>
      <c r="J7" s="74"/>
    </row>
    <row r="8" spans="1:13" x14ac:dyDescent="0.3">
      <c r="B8" s="87" t="s">
        <v>123</v>
      </c>
      <c r="C8" s="81"/>
      <c r="D8" s="79"/>
      <c r="E8" s="82"/>
      <c r="F8" s="82"/>
      <c r="G8" s="83"/>
      <c r="H8" s="83"/>
      <c r="I8" s="83"/>
      <c r="J8" s="83"/>
    </row>
    <row r="9" spans="1:13" x14ac:dyDescent="0.3">
      <c r="B9" s="91" t="s">
        <v>91</v>
      </c>
      <c r="D9" s="84"/>
      <c r="E9" s="60">
        <v>0</v>
      </c>
      <c r="F9" s="85"/>
      <c r="G9" s="60">
        <v>0</v>
      </c>
      <c r="H9" s="60">
        <v>0</v>
      </c>
      <c r="I9" s="60">
        <v>0</v>
      </c>
      <c r="J9" s="60">
        <v>0</v>
      </c>
      <c r="M9" s="66" t="s">
        <v>183</v>
      </c>
    </row>
    <row r="10" spans="1:13" x14ac:dyDescent="0.3">
      <c r="B10" s="91" t="s">
        <v>92</v>
      </c>
      <c r="D10" s="84"/>
      <c r="E10" s="60">
        <v>0</v>
      </c>
      <c r="F10" s="86"/>
      <c r="G10" s="60">
        <v>0</v>
      </c>
      <c r="H10" s="60">
        <v>0</v>
      </c>
      <c r="I10" s="60">
        <v>0</v>
      </c>
      <c r="J10" s="60">
        <v>0</v>
      </c>
    </row>
    <row r="11" spans="1:13" x14ac:dyDescent="0.3">
      <c r="B11" s="91" t="s">
        <v>110</v>
      </c>
      <c r="D11" s="84"/>
      <c r="E11" s="60">
        <v>0</v>
      </c>
      <c r="F11" s="86"/>
      <c r="G11" s="60">
        <v>0</v>
      </c>
      <c r="H11" s="60">
        <v>0</v>
      </c>
      <c r="I11" s="60">
        <v>0</v>
      </c>
      <c r="J11" s="60">
        <v>0</v>
      </c>
    </row>
    <row r="12" spans="1:13" x14ac:dyDescent="0.3">
      <c r="B12" s="91" t="s">
        <v>109</v>
      </c>
      <c r="D12" s="84"/>
      <c r="E12" s="60">
        <v>0</v>
      </c>
      <c r="F12" s="83"/>
      <c r="G12" s="60">
        <v>0</v>
      </c>
      <c r="H12" s="60">
        <v>0</v>
      </c>
      <c r="I12" s="60">
        <v>0</v>
      </c>
      <c r="J12" s="60">
        <v>0</v>
      </c>
    </row>
    <row r="13" spans="1:13" x14ac:dyDescent="0.3">
      <c r="B13" s="87" t="s">
        <v>93</v>
      </c>
      <c r="E13" s="93">
        <f>SUM(E9:E12)</f>
        <v>0</v>
      </c>
      <c r="F13" s="83"/>
      <c r="G13" s="93">
        <f>SUM(G9:G12)</f>
        <v>0</v>
      </c>
      <c r="H13" s="93">
        <f>SUM(H9:H12)</f>
        <v>0</v>
      </c>
      <c r="I13" s="93">
        <f>SUM(I9:I12)</f>
        <v>0</v>
      </c>
      <c r="J13" s="93">
        <f>SUM(J9:J12)</f>
        <v>0</v>
      </c>
    </row>
    <row r="14" spans="1:13" x14ac:dyDescent="0.3">
      <c r="B14" s="74"/>
      <c r="C14" s="74"/>
      <c r="D14" s="74"/>
      <c r="E14" s="74"/>
      <c r="F14" s="74"/>
      <c r="G14" s="74"/>
      <c r="H14" s="74"/>
      <c r="I14" s="74"/>
      <c r="J14" s="74"/>
    </row>
    <row r="15" spans="1:13" x14ac:dyDescent="0.3">
      <c r="B15" s="90" t="s">
        <v>94</v>
      </c>
      <c r="C15" s="84"/>
      <c r="D15" s="84"/>
      <c r="E15" s="60">
        <v>0</v>
      </c>
      <c r="F15" s="85"/>
      <c r="G15" s="60">
        <v>0</v>
      </c>
      <c r="H15" s="60">
        <v>0</v>
      </c>
      <c r="I15" s="60">
        <v>0</v>
      </c>
      <c r="J15" s="60">
        <v>0</v>
      </c>
    </row>
    <row r="16" spans="1:13" x14ac:dyDescent="0.3">
      <c r="B16" s="74"/>
      <c r="C16" s="74"/>
      <c r="D16" s="74"/>
      <c r="E16" s="74"/>
      <c r="F16" s="74"/>
      <c r="G16" s="74"/>
      <c r="H16" s="74"/>
      <c r="I16" s="74"/>
      <c r="J16" s="74"/>
    </row>
    <row r="17" spans="1:13" x14ac:dyDescent="0.3">
      <c r="B17" s="90" t="s">
        <v>95</v>
      </c>
      <c r="C17" s="84"/>
      <c r="D17" s="84"/>
      <c r="E17" s="60">
        <v>0</v>
      </c>
      <c r="F17" s="85"/>
      <c r="G17" s="60">
        <v>0</v>
      </c>
      <c r="H17" s="60">
        <v>0</v>
      </c>
      <c r="I17" s="60">
        <v>0</v>
      </c>
      <c r="J17" s="60">
        <v>0</v>
      </c>
      <c r="M17" s="66" t="s">
        <v>174</v>
      </c>
    </row>
    <row r="18" spans="1:13" x14ac:dyDescent="0.3">
      <c r="B18" s="74"/>
      <c r="C18" s="74"/>
      <c r="D18" s="74"/>
      <c r="E18" s="74"/>
      <c r="F18" s="74"/>
      <c r="G18" s="74"/>
      <c r="H18" s="74"/>
      <c r="I18" s="74"/>
      <c r="J18" s="74"/>
    </row>
    <row r="19" spans="1:13" ht="13.5" thickBot="1" x14ac:dyDescent="0.35">
      <c r="A19" s="87" t="s">
        <v>96</v>
      </c>
      <c r="B19" s="74"/>
      <c r="C19" s="84"/>
      <c r="E19" s="94">
        <f>E13+E15+E17</f>
        <v>0</v>
      </c>
      <c r="F19" s="86"/>
      <c r="G19" s="94">
        <f>G13+G15+G17</f>
        <v>0</v>
      </c>
      <c r="H19" s="94">
        <f>H13+H15+H17</f>
        <v>0</v>
      </c>
      <c r="I19" s="94">
        <f>I13+I15+I17</f>
        <v>0</v>
      </c>
      <c r="J19" s="94">
        <f>J13+J15+J17</f>
        <v>0</v>
      </c>
    </row>
    <row r="20" spans="1:13" ht="13.5" thickTop="1" x14ac:dyDescent="0.3">
      <c r="B20" s="74"/>
      <c r="C20" s="74"/>
      <c r="D20" s="74"/>
      <c r="E20" s="74"/>
      <c r="F20" s="74"/>
      <c r="G20" s="74"/>
      <c r="H20" s="74"/>
      <c r="I20" s="74"/>
      <c r="J20" s="74"/>
    </row>
    <row r="21" spans="1:13" ht="15" customHeight="1" x14ac:dyDescent="0.3">
      <c r="A21" s="90" t="s">
        <v>97</v>
      </c>
      <c r="B21" s="79"/>
      <c r="C21" s="79"/>
      <c r="E21" s="88"/>
      <c r="F21" s="88"/>
      <c r="G21" s="88"/>
      <c r="H21" s="88"/>
      <c r="I21" s="88"/>
      <c r="J21" s="88"/>
    </row>
    <row r="22" spans="1:13" x14ac:dyDescent="0.3">
      <c r="B22" s="74"/>
      <c r="C22" s="74"/>
      <c r="D22" s="74"/>
      <c r="E22" s="74"/>
      <c r="F22" s="74"/>
      <c r="G22" s="74"/>
      <c r="H22" s="74"/>
      <c r="I22" s="74"/>
      <c r="J22" s="74"/>
    </row>
    <row r="23" spans="1:13" x14ac:dyDescent="0.3">
      <c r="B23" s="87" t="s">
        <v>124</v>
      </c>
      <c r="C23" s="89"/>
      <c r="D23" s="89"/>
      <c r="E23" s="83"/>
      <c r="F23" s="83"/>
      <c r="G23" s="83"/>
      <c r="H23" s="83"/>
      <c r="I23" s="83"/>
      <c r="J23" s="83"/>
    </row>
    <row r="24" spans="1:13" x14ac:dyDescent="0.3">
      <c r="B24" s="91" t="s">
        <v>99</v>
      </c>
      <c r="D24" s="84"/>
      <c r="E24" s="60">
        <v>0</v>
      </c>
      <c r="F24" s="85"/>
      <c r="G24" s="60">
        <v>0</v>
      </c>
      <c r="H24" s="60">
        <v>0</v>
      </c>
      <c r="I24" s="60">
        <v>0</v>
      </c>
      <c r="J24" s="60">
        <v>0</v>
      </c>
    </row>
    <row r="25" spans="1:13" x14ac:dyDescent="0.3">
      <c r="B25" s="91" t="s">
        <v>98</v>
      </c>
      <c r="D25" s="84"/>
      <c r="E25" s="60">
        <v>0</v>
      </c>
      <c r="F25" s="83"/>
      <c r="G25" s="60">
        <v>0</v>
      </c>
      <c r="H25" s="60">
        <v>0</v>
      </c>
      <c r="I25" s="60">
        <v>0</v>
      </c>
      <c r="J25" s="60">
        <v>0</v>
      </c>
    </row>
    <row r="26" spans="1:13" x14ac:dyDescent="0.3">
      <c r="B26" s="91" t="s">
        <v>106</v>
      </c>
      <c r="D26" s="84"/>
      <c r="E26" s="60">
        <v>0</v>
      </c>
      <c r="F26" s="83"/>
      <c r="G26" s="60">
        <v>0</v>
      </c>
      <c r="H26" s="60">
        <v>0</v>
      </c>
      <c r="I26" s="60">
        <v>0</v>
      </c>
      <c r="J26" s="60">
        <v>0</v>
      </c>
    </row>
    <row r="27" spans="1:13" x14ac:dyDescent="0.3">
      <c r="B27" s="91" t="s">
        <v>178</v>
      </c>
      <c r="D27" s="84"/>
      <c r="E27" s="60">
        <v>0</v>
      </c>
      <c r="F27" s="83"/>
      <c r="G27" s="60">
        <v>0</v>
      </c>
      <c r="H27" s="60">
        <v>0</v>
      </c>
      <c r="I27" s="60">
        <v>0</v>
      </c>
      <c r="J27" s="60">
        <v>0</v>
      </c>
    </row>
    <row r="28" spans="1:13" x14ac:dyDescent="0.3">
      <c r="B28" s="91" t="s">
        <v>108</v>
      </c>
      <c r="D28" s="84"/>
      <c r="E28" s="60">
        <v>0</v>
      </c>
      <c r="F28" s="83"/>
      <c r="G28" s="60">
        <v>0</v>
      </c>
      <c r="H28" s="60">
        <v>0</v>
      </c>
      <c r="I28" s="60">
        <v>0</v>
      </c>
      <c r="J28" s="60">
        <v>0</v>
      </c>
    </row>
    <row r="29" spans="1:13" x14ac:dyDescent="0.3">
      <c r="B29" s="87" t="s">
        <v>100</v>
      </c>
      <c r="E29" s="93">
        <f>SUM(E24:E28)</f>
        <v>0</v>
      </c>
      <c r="F29" s="83"/>
      <c r="G29" s="93">
        <f t="shared" ref="G29:J29" si="0">SUM(G24:G28)</f>
        <v>0</v>
      </c>
      <c r="H29" s="93">
        <f t="shared" si="0"/>
        <v>0</v>
      </c>
      <c r="I29" s="93">
        <f t="shared" si="0"/>
        <v>0</v>
      </c>
      <c r="J29" s="93">
        <f t="shared" si="0"/>
        <v>0</v>
      </c>
    </row>
    <row r="30" spans="1:13" x14ac:dyDescent="0.3">
      <c r="B30" s="87"/>
      <c r="E30" s="83"/>
      <c r="F30" s="83"/>
      <c r="G30" s="83"/>
      <c r="H30" s="83"/>
      <c r="I30" s="83"/>
      <c r="J30" s="83"/>
    </row>
    <row r="31" spans="1:13" x14ac:dyDescent="0.3">
      <c r="B31" s="90" t="s">
        <v>125</v>
      </c>
      <c r="C31" s="74"/>
      <c r="D31" s="74"/>
      <c r="E31" s="74"/>
      <c r="F31" s="74"/>
      <c r="G31" s="74"/>
      <c r="H31" s="74"/>
      <c r="I31" s="74"/>
      <c r="J31" s="74"/>
    </row>
    <row r="32" spans="1:13" x14ac:dyDescent="0.3">
      <c r="B32" s="91" t="s">
        <v>126</v>
      </c>
      <c r="D32" s="74"/>
      <c r="E32" s="60">
        <v>0</v>
      </c>
      <c r="F32" s="85"/>
      <c r="G32" s="60">
        <v>0</v>
      </c>
      <c r="H32" s="60">
        <v>0</v>
      </c>
      <c r="I32" s="60">
        <v>0</v>
      </c>
      <c r="J32" s="60">
        <v>0</v>
      </c>
    </row>
    <row r="33" spans="1:13" x14ac:dyDescent="0.3">
      <c r="B33" s="91" t="s">
        <v>127</v>
      </c>
      <c r="D33" s="74"/>
      <c r="E33" s="60">
        <v>0</v>
      </c>
      <c r="F33" s="83"/>
      <c r="G33" s="60">
        <v>0</v>
      </c>
      <c r="H33" s="60">
        <v>0</v>
      </c>
      <c r="I33" s="60">
        <v>0</v>
      </c>
      <c r="J33" s="60">
        <v>0</v>
      </c>
      <c r="M33" s="66" t="s">
        <v>175</v>
      </c>
    </row>
    <row r="34" spans="1:13" x14ac:dyDescent="0.3">
      <c r="B34" s="87" t="s">
        <v>107</v>
      </c>
      <c r="D34" s="84"/>
      <c r="E34" s="93">
        <f>SUM(E32:E33)</f>
        <v>0</v>
      </c>
      <c r="F34" s="83"/>
      <c r="G34" s="93">
        <f t="shared" ref="G34:J34" si="1">SUM(G32:G33)</f>
        <v>0</v>
      </c>
      <c r="H34" s="93">
        <f t="shared" si="1"/>
        <v>0</v>
      </c>
      <c r="I34" s="93">
        <f t="shared" si="1"/>
        <v>0</v>
      </c>
      <c r="J34" s="93">
        <f t="shared" si="1"/>
        <v>0</v>
      </c>
    </row>
    <row r="35" spans="1:13" x14ac:dyDescent="0.3">
      <c r="B35" s="74"/>
      <c r="C35" s="74"/>
      <c r="D35" s="74"/>
      <c r="E35" s="74"/>
      <c r="F35" s="74"/>
      <c r="G35" s="74"/>
      <c r="H35" s="74"/>
      <c r="I35" s="74"/>
      <c r="J35" s="74"/>
    </row>
    <row r="36" spans="1:13" ht="14.5" x14ac:dyDescent="0.45">
      <c r="B36" s="87" t="s">
        <v>101</v>
      </c>
      <c r="C36" s="74"/>
      <c r="E36" s="95">
        <f>E29+E34</f>
        <v>0</v>
      </c>
      <c r="F36" s="88"/>
      <c r="G36" s="95">
        <f>G29+G34</f>
        <v>0</v>
      </c>
      <c r="H36" s="95">
        <f>H29+H34</f>
        <v>0</v>
      </c>
      <c r="I36" s="95">
        <f>I29+I34</f>
        <v>0</v>
      </c>
      <c r="J36" s="95">
        <f>J29+J34</f>
        <v>0</v>
      </c>
    </row>
    <row r="37" spans="1:13" x14ac:dyDescent="0.3">
      <c r="B37" s="74"/>
      <c r="C37" s="74"/>
      <c r="D37" s="74"/>
      <c r="E37" s="74"/>
      <c r="F37" s="74"/>
      <c r="G37" s="74"/>
      <c r="H37" s="74"/>
      <c r="I37" s="74"/>
      <c r="J37" s="74"/>
    </row>
    <row r="38" spans="1:13" x14ac:dyDescent="0.3">
      <c r="B38" s="92" t="s">
        <v>128</v>
      </c>
      <c r="C38" s="89"/>
      <c r="D38" s="89"/>
      <c r="E38" s="83"/>
      <c r="F38" s="83"/>
      <c r="G38" s="88"/>
      <c r="H38" s="88"/>
      <c r="I38" s="88"/>
      <c r="J38" s="88"/>
    </row>
    <row r="39" spans="1:13" x14ac:dyDescent="0.3">
      <c r="B39" s="91" t="s">
        <v>102</v>
      </c>
      <c r="D39" s="89"/>
      <c r="E39" s="60">
        <v>0</v>
      </c>
      <c r="F39" s="83"/>
      <c r="G39" s="60">
        <v>0</v>
      </c>
      <c r="H39" s="60">
        <v>0</v>
      </c>
      <c r="I39" s="60">
        <v>0</v>
      </c>
      <c r="J39" s="60">
        <v>0</v>
      </c>
    </row>
    <row r="40" spans="1:13" x14ac:dyDescent="0.3">
      <c r="B40" s="91" t="s">
        <v>103</v>
      </c>
      <c r="D40" s="89"/>
      <c r="E40" s="60">
        <v>0</v>
      </c>
      <c r="F40" s="83"/>
      <c r="G40" s="60">
        <v>0</v>
      </c>
      <c r="H40" s="60">
        <v>0</v>
      </c>
      <c r="I40" s="60">
        <v>0</v>
      </c>
      <c r="J40" s="60">
        <v>0</v>
      </c>
    </row>
    <row r="41" spans="1:13" x14ac:dyDescent="0.3">
      <c r="B41" s="91" t="s">
        <v>134</v>
      </c>
      <c r="D41" s="89"/>
      <c r="E41" s="99">
        <v>0</v>
      </c>
      <c r="F41" s="83"/>
      <c r="G41" s="99">
        <v>0</v>
      </c>
      <c r="H41" s="99">
        <v>0</v>
      </c>
      <c r="I41" s="99">
        <v>0</v>
      </c>
      <c r="J41" s="99">
        <v>0</v>
      </c>
    </row>
    <row r="42" spans="1:13" ht="14.5" x14ac:dyDescent="0.45">
      <c r="B42" s="87" t="s">
        <v>104</v>
      </c>
      <c r="C42" s="84"/>
      <c r="E42" s="96">
        <f>SUM(E39:E41)</f>
        <v>0</v>
      </c>
      <c r="F42" s="83"/>
      <c r="G42" s="96">
        <f>SUM(G39:G41)</f>
        <v>0</v>
      </c>
      <c r="H42" s="96">
        <f>SUM(H39:H41)</f>
        <v>0</v>
      </c>
      <c r="I42" s="96">
        <f>SUM(I39:I41)</f>
        <v>0</v>
      </c>
      <c r="J42" s="96">
        <f>SUM(J39:J41)</f>
        <v>0</v>
      </c>
    </row>
    <row r="43" spans="1:13" x14ac:dyDescent="0.3">
      <c r="B43" s="74"/>
      <c r="C43" s="74"/>
      <c r="D43" s="74"/>
      <c r="E43" s="74"/>
      <c r="F43" s="74"/>
      <c r="G43" s="74"/>
      <c r="H43" s="74"/>
      <c r="I43" s="74"/>
      <c r="J43" s="74"/>
    </row>
    <row r="44" spans="1:13" ht="13.5" thickBot="1" x14ac:dyDescent="0.35">
      <c r="A44" s="87" t="s">
        <v>105</v>
      </c>
      <c r="B44" s="74"/>
      <c r="C44" s="84"/>
      <c r="E44" s="97">
        <f>E36+E42</f>
        <v>0</v>
      </c>
      <c r="F44" s="83"/>
      <c r="G44" s="97">
        <f>G36+G42</f>
        <v>0</v>
      </c>
      <c r="H44" s="97">
        <f>H36+H42</f>
        <v>0</v>
      </c>
      <c r="I44" s="97">
        <f>I36+I42</f>
        <v>0</v>
      </c>
      <c r="J44" s="97">
        <f>J36+J42</f>
        <v>0</v>
      </c>
    </row>
    <row r="45" spans="1:13" ht="13.5" thickTop="1" x14ac:dyDescent="0.3">
      <c r="B45" s="74"/>
      <c r="C45" s="84"/>
      <c r="D45" s="89"/>
      <c r="E45" s="83"/>
      <c r="F45" s="83"/>
      <c r="G45" s="88"/>
      <c r="H45" s="88"/>
      <c r="I45" s="88"/>
      <c r="J45" s="88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defaultColWidth="8.81640625" defaultRowHeight="14.5" x14ac:dyDescent="0.35"/>
  <cols>
    <col min="1" max="1" width="16.1796875" bestFit="1" customWidth="1"/>
  </cols>
  <sheetData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Faucette</dc:creator>
  <cp:lastModifiedBy>Usha Jayanthi</cp:lastModifiedBy>
  <cp:lastPrinted>2016-11-10T20:34:43Z</cp:lastPrinted>
  <dcterms:created xsi:type="dcterms:W3CDTF">2015-03-09T19:17:40Z</dcterms:created>
  <dcterms:modified xsi:type="dcterms:W3CDTF">2018-05-31T22:26:24Z</dcterms:modified>
</cp:coreProperties>
</file>