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nic_000\Desktop\"/>
    </mc:Choice>
  </mc:AlternateContent>
  <bookViews>
    <workbookView xWindow="0" yWindow="0" windowWidth="19200" windowHeight="6770"/>
  </bookViews>
  <sheets>
    <sheet name="Total Yr Bug &amp; Act. (Grouped)" sheetId="1" r:id="rId1"/>
  </sheets>
  <externalReferences>
    <externalReference r:id="rId2"/>
  </externalReferences>
  <definedNames>
    <definedName name="_7027AC9C059748c8A1CB672677814313_UserDefaultSettings_0" hidden="1">#VALUE!</definedName>
    <definedName name="_7027AC9C059748c8A1CB672677814313_UserDefaultSettings_1" hidden="1">"e&gt;_x000D_
    &lt;FontColor&gt;-1&lt;/FontColor&gt;_x000D_
    &lt;FontSize&gt;8&lt;/FontSize&gt;_x000D_
    &lt;FontBold&gt;false&lt;/FontBold&gt;_x000D_
    &lt;FontItalic&gt;false&lt;/FontItalic&gt;_x000D_
    &lt;FontUnderlined&gt;false&lt;/FontUnderlined&gt;_x000D_
  &lt;/TableDimensionCaption&gt;_x000D_
  &lt;TableBandColor&gt;49&lt;/TableBandColor&gt;_x000D_
  &lt;TableBandS"&amp;"ize&gt;2&lt;/TableBandSize&gt;_x000D_
  &lt;TableFormatNonLeafRowMembersBold&gt;false&lt;/TableFormatNonLeafRowMembersBold&gt;_x000D_
  &lt;TableFormatNonLeafColumnMembersBold&gt;false&lt;/TableFormatNonLeafColumnMembersBold&gt;_x000D_
  &lt;TableFormatNonLeafRowCellsBold&gt;false&lt;/TableFormatNonLeafRowCellsBol"&amp;"d&gt;_x000D_
  &lt;TableFormatNonLeafColumnCellsBold&gt;false&lt;/TableFormatNonLeafColumnCellsBold&gt;_x000D_
  &lt;TableGridColor&gt;15&lt;/TableGridColor&gt;_x000D_
  &lt;ChartTableRowAxisLabelDirection&gt;90&lt;/ChartTableRowAxisLabelDirection&gt;_x000D_
&lt;/UserSettings&gt;"</definedName>
    <definedName name="_7027AC9C059748c8A1CB672677814313_UserDefaultSettings_Count" hidden="1">2</definedName>
    <definedName name="_xlnm.Print_Area" localSheetId="0">'Total Yr Bug &amp; Act. (Grouped)'!$A$1:$Q$126</definedName>
    <definedName name="_xlnm.Print_Titles" localSheetId="0">'Total Yr Bug &amp; Act. (Grouped)'!$1:$6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9" i="1" l="1"/>
  <c r="H117" i="1"/>
  <c r="G117" i="1"/>
  <c r="F117" i="1"/>
  <c r="M116" i="1"/>
  <c r="M115" i="1"/>
  <c r="M114" i="1"/>
  <c r="M111" i="1"/>
  <c r="M109" i="1"/>
  <c r="M108" i="1"/>
  <c r="M107" i="1"/>
  <c r="H104" i="1"/>
  <c r="G104" i="1"/>
  <c r="F104" i="1"/>
  <c r="M99" i="1"/>
  <c r="M98" i="1"/>
  <c r="M97" i="1"/>
  <c r="N93" i="1"/>
  <c r="M93" i="1"/>
  <c r="E93" i="1"/>
  <c r="E121" i="1" s="1"/>
  <c r="D93" i="1"/>
  <c r="D121" i="1" s="1"/>
  <c r="M92" i="1"/>
  <c r="M91" i="1"/>
  <c r="M90" i="1"/>
  <c r="M89" i="1"/>
  <c r="H86" i="1"/>
  <c r="H94" i="1" s="1"/>
  <c r="G86" i="1"/>
  <c r="G94" i="1" s="1"/>
  <c r="F86" i="1"/>
  <c r="F94" i="1" s="1"/>
  <c r="M85" i="1"/>
  <c r="M84" i="1"/>
  <c r="M82" i="1"/>
  <c r="M78" i="1"/>
  <c r="M77" i="1"/>
  <c r="H75" i="1"/>
  <c r="G75" i="1"/>
  <c r="F75" i="1"/>
  <c r="M74" i="1"/>
  <c r="M73" i="1"/>
  <c r="M72" i="1"/>
  <c r="M71" i="1"/>
  <c r="I68" i="1"/>
  <c r="H68" i="1"/>
  <c r="G68" i="1"/>
  <c r="F68" i="1"/>
  <c r="M67" i="1"/>
  <c r="M66" i="1"/>
  <c r="M65" i="1"/>
  <c r="M64" i="1"/>
  <c r="M63" i="1"/>
  <c r="P62" i="1"/>
  <c r="M62" i="1"/>
  <c r="P63" i="1"/>
  <c r="M61" i="1"/>
  <c r="M60" i="1"/>
  <c r="M56" i="1"/>
  <c r="J56" i="1"/>
  <c r="L56" i="1"/>
  <c r="K56" i="1"/>
  <c r="H54" i="1"/>
  <c r="G54" i="1"/>
  <c r="F54" i="1"/>
  <c r="M53" i="1"/>
  <c r="M54" i="1" s="1"/>
  <c r="L53" i="1"/>
  <c r="L54" i="1" s="1"/>
  <c r="P52" i="1"/>
  <c r="H49" i="1"/>
  <c r="G49" i="1"/>
  <c r="F49" i="1"/>
  <c r="M48" i="1"/>
  <c r="M47" i="1"/>
  <c r="M46" i="1"/>
  <c r="M45" i="1"/>
  <c r="L45" i="1"/>
  <c r="L49" i="1" s="1"/>
  <c r="M43" i="1"/>
  <c r="K43" i="1"/>
  <c r="L43" i="1"/>
  <c r="I41" i="1"/>
  <c r="H41" i="1"/>
  <c r="G41" i="1"/>
  <c r="F41" i="1"/>
  <c r="M40" i="1"/>
  <c r="L40" i="1"/>
  <c r="K40" i="1"/>
  <c r="J40" i="1"/>
  <c r="M37" i="1"/>
  <c r="L37" i="1"/>
  <c r="K37" i="1"/>
  <c r="J37" i="1"/>
  <c r="M36" i="1"/>
  <c r="L36" i="1"/>
  <c r="J36" i="1"/>
  <c r="M35" i="1"/>
  <c r="L35" i="1"/>
  <c r="K35" i="1"/>
  <c r="J35" i="1"/>
  <c r="M34" i="1"/>
  <c r="L34" i="1"/>
  <c r="K34" i="1"/>
  <c r="M33" i="1"/>
  <c r="L33" i="1"/>
  <c r="K33" i="1"/>
  <c r="M32" i="1"/>
  <c r="L32" i="1"/>
  <c r="M31" i="1"/>
  <c r="L31" i="1"/>
  <c r="J31" i="1"/>
  <c r="M26" i="1"/>
  <c r="H26" i="1"/>
  <c r="G26" i="1"/>
  <c r="F26" i="1"/>
  <c r="J25" i="1"/>
  <c r="J26" i="1" s="1"/>
  <c r="J20" i="1"/>
  <c r="J19" i="1"/>
  <c r="J18" i="1"/>
  <c r="J17" i="1"/>
  <c r="J16" i="1"/>
  <c r="H14" i="1"/>
  <c r="H21" i="1" s="1"/>
  <c r="G14" i="1"/>
  <c r="G21" i="1" s="1"/>
  <c r="F14" i="1"/>
  <c r="N14" i="1" s="1"/>
  <c r="E14" i="1"/>
  <c r="E21" i="1" s="1"/>
  <c r="D14" i="1"/>
  <c r="D21" i="1" s="1"/>
  <c r="D125" i="1" s="1"/>
  <c r="M12" i="1"/>
  <c r="M11" i="1"/>
  <c r="L11" i="1"/>
  <c r="K11" i="1"/>
  <c r="J11" i="1"/>
  <c r="M10" i="1"/>
  <c r="L10" i="1"/>
  <c r="K10" i="1"/>
  <c r="K14" i="1" s="1"/>
  <c r="K21" i="1" s="1"/>
  <c r="J10" i="1"/>
  <c r="M49" i="1" l="1"/>
  <c r="M75" i="1"/>
  <c r="L41" i="1"/>
  <c r="M86" i="1"/>
  <c r="M117" i="1"/>
  <c r="E125" i="1"/>
  <c r="J41" i="1"/>
  <c r="H121" i="1"/>
  <c r="H125" i="1" s="1"/>
  <c r="M104" i="1"/>
  <c r="F21" i="1"/>
  <c r="M68" i="1"/>
  <c r="L14" i="1"/>
  <c r="L21" i="1" s="1"/>
  <c r="M41" i="1"/>
  <c r="F121" i="1"/>
  <c r="N121" i="1" s="1"/>
  <c r="J43" i="1"/>
  <c r="J14" i="1"/>
  <c r="J21" i="1" s="1"/>
  <c r="M14" i="1"/>
  <c r="M21" i="1" s="1"/>
  <c r="K41" i="1"/>
  <c r="G123" i="1"/>
  <c r="M94" i="1"/>
  <c r="M121" i="1" s="1"/>
  <c r="H123" i="1"/>
  <c r="G121" i="1"/>
  <c r="G125" i="1" s="1"/>
  <c r="K45" i="1"/>
  <c r="K49" i="1" s="1"/>
  <c r="K53" i="1"/>
  <c r="K54" i="1" s="1"/>
  <c r="P53" i="1"/>
  <c r="F123" i="1"/>
  <c r="N21" i="1"/>
  <c r="J45" i="1"/>
  <c r="J49" i="1" s="1"/>
  <c r="J53" i="1"/>
  <c r="J54" i="1" s="1"/>
  <c r="P14" i="1" l="1"/>
  <c r="F125" i="1"/>
  <c r="M125" i="1"/>
  <c r="M123" i="1"/>
</calcChain>
</file>

<file path=xl/sharedStrings.xml><?xml version="1.0" encoding="utf-8"?>
<sst xmlns="http://schemas.openxmlformats.org/spreadsheetml/2006/main" count="220" uniqueCount="190">
  <si>
    <t>Community College Preparatory Academy</t>
  </si>
  <si>
    <t>Ref #</t>
  </si>
  <si>
    <t xml:space="preserve">
</t>
  </si>
  <si>
    <t>FY07 Budget</t>
  </si>
  <si>
    <t>FY07 Actual as of 5/4/07</t>
  </si>
  <si>
    <t>FY17 Budget</t>
  </si>
  <si>
    <t>FY17 - YTD Actuals</t>
  </si>
  <si>
    <t xml:space="preserve">FY18 Budget </t>
  </si>
  <si>
    <t>%
Change</t>
  </si>
  <si>
    <t>Comments</t>
  </si>
  <si>
    <t>Revenues</t>
  </si>
  <si>
    <t>Approved</t>
  </si>
  <si>
    <t>As of 3/31/17</t>
  </si>
  <si>
    <t>As of 4/30/17</t>
  </si>
  <si>
    <t>Budget to Revised</t>
  </si>
  <si>
    <t>MAIN</t>
  </si>
  <si>
    <t>GIBBS</t>
  </si>
  <si>
    <t>MC TERRELL</t>
  </si>
  <si>
    <t>4000 - Per Pupil Charter Revenue</t>
  </si>
  <si>
    <t>Based on 450 students</t>
  </si>
  <si>
    <t>Based on 75 students</t>
  </si>
  <si>
    <t>Based on 50 students</t>
  </si>
  <si>
    <t>Based on 175 students</t>
  </si>
  <si>
    <t>Based on 600 students</t>
  </si>
  <si>
    <t>4001</t>
  </si>
  <si>
    <t>Base Per Pupil Allocation</t>
  </si>
  <si>
    <t>4002</t>
  </si>
  <si>
    <t>Per Pupil Rev.--Facility Alloc</t>
  </si>
  <si>
    <t>4003</t>
  </si>
  <si>
    <t>Per Pupil Rev.--Summer School</t>
  </si>
  <si>
    <t>4100</t>
  </si>
  <si>
    <t>Per Pupil Rev.--Special Education</t>
  </si>
  <si>
    <t/>
  </si>
  <si>
    <t>Total Per Pupil Charter Revenue</t>
  </si>
  <si>
    <t xml:space="preserve">4230 </t>
  </si>
  <si>
    <t>Private Grants &amp; Donations</t>
  </si>
  <si>
    <t>4800</t>
  </si>
  <si>
    <t>Misc. Income</t>
  </si>
  <si>
    <t>4300</t>
  </si>
  <si>
    <t>In-Kind Donations</t>
  </si>
  <si>
    <t>4999</t>
  </si>
  <si>
    <t>Grants</t>
  </si>
  <si>
    <t>4210</t>
  </si>
  <si>
    <t>Other Government Funding - CTE Grant</t>
  </si>
  <si>
    <t>Total Revenues</t>
  </si>
  <si>
    <t>Expenses</t>
  </si>
  <si>
    <t>2260</t>
  </si>
  <si>
    <t>Loan Payable</t>
  </si>
  <si>
    <t>Total -  2260 Loan Payable</t>
  </si>
  <si>
    <t>5000 - Salaries</t>
  </si>
  <si>
    <t xml:space="preserve">   5001</t>
  </si>
  <si>
    <t>Principal &amp; Exec. Dir Salaries</t>
  </si>
  <si>
    <t xml:space="preserve"> </t>
  </si>
  <si>
    <t xml:space="preserve">   5002</t>
  </si>
  <si>
    <t>Other Support Staff</t>
  </si>
  <si>
    <t xml:space="preserve">   5004</t>
  </si>
  <si>
    <t>Student Success Specialists</t>
  </si>
  <si>
    <t xml:space="preserve">   5005</t>
  </si>
  <si>
    <t>Learning Lab Managers</t>
  </si>
  <si>
    <t xml:space="preserve">   5006</t>
  </si>
  <si>
    <t>Support Staff</t>
  </si>
  <si>
    <t xml:space="preserve">   5007</t>
  </si>
  <si>
    <t>Business/Operations</t>
  </si>
  <si>
    <t xml:space="preserve">   5008</t>
  </si>
  <si>
    <t>Adminstrative Assistant</t>
  </si>
  <si>
    <t xml:space="preserve">   5009</t>
  </si>
  <si>
    <t>Custodial Salaries</t>
  </si>
  <si>
    <t xml:space="preserve">   5010</t>
  </si>
  <si>
    <t>Other Staff Salaries</t>
  </si>
  <si>
    <t xml:space="preserve">   5012</t>
  </si>
  <si>
    <t>Interns</t>
  </si>
  <si>
    <t>Total -  5000 Salaries</t>
  </si>
  <si>
    <t>5100 -  Payroll Taxes</t>
  </si>
  <si>
    <t>5200 - Employee Benefits</t>
  </si>
  <si>
    <t xml:space="preserve">   5200</t>
  </si>
  <si>
    <t>Fringe Benefits - Other</t>
  </si>
  <si>
    <t xml:space="preserve">   5201</t>
  </si>
  <si>
    <t>Fringe Benefits - Worker's Comp</t>
  </si>
  <si>
    <t xml:space="preserve">   5202</t>
  </si>
  <si>
    <t>Fringe Benefits - DeMinimus</t>
  </si>
  <si>
    <t xml:space="preserve">   5203</t>
  </si>
  <si>
    <t>Fringe Benefits - Retirement</t>
  </si>
  <si>
    <t>Total -  5200 Employee Benefits</t>
  </si>
  <si>
    <t>5300 - Other Personnel Expenses</t>
  </si>
  <si>
    <t xml:space="preserve">   5300</t>
  </si>
  <si>
    <t>Other Personnel Expenses</t>
  </si>
  <si>
    <t xml:space="preserve">   5301</t>
  </si>
  <si>
    <t>Staff Development Costs</t>
  </si>
  <si>
    <t>Total 5300 - Other Personnel Expenses</t>
  </si>
  <si>
    <t>5400 - Contractors</t>
  </si>
  <si>
    <t>6100 - Direct Student Expenses</t>
  </si>
  <si>
    <t xml:space="preserve">   6100</t>
  </si>
  <si>
    <t>Direct Student Expenses - Other</t>
  </si>
  <si>
    <t xml:space="preserve">   6101</t>
  </si>
  <si>
    <t>Computers and Materials</t>
  </si>
  <si>
    <t xml:space="preserve">   6102</t>
  </si>
  <si>
    <t>Classroom Furnishings &amp; Supplies</t>
  </si>
  <si>
    <t xml:space="preserve">   6103</t>
  </si>
  <si>
    <t>Student Assessment Materials</t>
  </si>
  <si>
    <t xml:space="preserve">   6104</t>
  </si>
  <si>
    <t>Contracted Student Service</t>
  </si>
  <si>
    <t xml:space="preserve">   6105</t>
  </si>
  <si>
    <t>Miscellaneous Student Cost</t>
  </si>
  <si>
    <t xml:space="preserve">   6106 </t>
  </si>
  <si>
    <t>Textbooks</t>
  </si>
  <si>
    <t xml:space="preserve">   6107</t>
  </si>
  <si>
    <t>Student Supplies &amp; Materials</t>
  </si>
  <si>
    <t xml:space="preserve">   6108</t>
  </si>
  <si>
    <t>Library &amp;  Media Ctr Materials</t>
  </si>
  <si>
    <t>Total 6100 - Direct Student Expenses</t>
  </si>
  <si>
    <t>6200 - Occupancy Expenses</t>
  </si>
  <si>
    <t xml:space="preserve">   6201</t>
  </si>
  <si>
    <t>Utilities</t>
  </si>
  <si>
    <t xml:space="preserve">   6202</t>
  </si>
  <si>
    <t>Building Maintenance &amp; Repairs</t>
  </si>
  <si>
    <t xml:space="preserve">   6203</t>
  </si>
  <si>
    <t>Contracted Building Services</t>
  </si>
  <si>
    <t xml:space="preserve">   6204</t>
  </si>
  <si>
    <t>Janitorial Supplies</t>
  </si>
  <si>
    <t>Total 6200 - Occupancy Expenses</t>
  </si>
  <si>
    <t>6210 - Rent</t>
  </si>
  <si>
    <t>6290 - Depreciation</t>
  </si>
  <si>
    <t>6300 - Office Expenses</t>
  </si>
  <si>
    <t xml:space="preserve">   6300</t>
  </si>
  <si>
    <t>Office Supplies - Other</t>
  </si>
  <si>
    <t xml:space="preserve">   6301</t>
  </si>
  <si>
    <t>Office Supplies &amp; Materials</t>
  </si>
  <si>
    <t xml:space="preserve">   6302</t>
  </si>
  <si>
    <t>Office Furnishings &amp; Equipment</t>
  </si>
  <si>
    <t xml:space="preserve">     63022</t>
  </si>
  <si>
    <t xml:space="preserve">   Office Computers</t>
  </si>
  <si>
    <t xml:space="preserve">     6302</t>
  </si>
  <si>
    <t xml:space="preserve">   Office Furnishings &amp; Equip - Other</t>
  </si>
  <si>
    <t>Total 6302 - Office Furnishings &amp; Equip</t>
  </si>
  <si>
    <t xml:space="preserve">   6303</t>
  </si>
  <si>
    <t>Office Equipment Rental &amp; Maintenance</t>
  </si>
  <si>
    <t xml:space="preserve">   6304</t>
  </si>
  <si>
    <t>Telephone/Telecommunications</t>
  </si>
  <si>
    <t xml:space="preserve">   6305</t>
  </si>
  <si>
    <t xml:space="preserve">Printing and Copying </t>
  </si>
  <si>
    <t xml:space="preserve">   6306</t>
  </si>
  <si>
    <t>Postage and Shipping</t>
  </si>
  <si>
    <t xml:space="preserve">   6307</t>
  </si>
  <si>
    <t>Equipment Rental &amp; Maintenance</t>
  </si>
  <si>
    <t xml:space="preserve">   6308</t>
  </si>
  <si>
    <t>Other</t>
  </si>
  <si>
    <t>Total 6300 - Office Expenses</t>
  </si>
  <si>
    <t>6400 - Professional Fees</t>
  </si>
  <si>
    <t xml:space="preserve">   6401</t>
  </si>
  <si>
    <t>Legal, Accounting &amp; Payroll</t>
  </si>
  <si>
    <t xml:space="preserve">   6402</t>
  </si>
  <si>
    <t>IT Fees</t>
  </si>
  <si>
    <t xml:space="preserve">   6403</t>
  </si>
  <si>
    <t>Membership Fees</t>
  </si>
  <si>
    <t xml:space="preserve">   6404</t>
  </si>
  <si>
    <t>Start Up Fees</t>
  </si>
  <si>
    <t xml:space="preserve">   6405</t>
  </si>
  <si>
    <t>Advertising</t>
  </si>
  <si>
    <t xml:space="preserve">   6406</t>
  </si>
  <si>
    <t>Tuition Reimbursement</t>
  </si>
  <si>
    <t xml:space="preserve">   6400</t>
  </si>
  <si>
    <t>Professional Fees - Other</t>
  </si>
  <si>
    <t>Total 6400 - Professional Fees</t>
  </si>
  <si>
    <t>6500 - General Expense</t>
  </si>
  <si>
    <t xml:space="preserve">   6501</t>
  </si>
  <si>
    <t>Insurance</t>
  </si>
  <si>
    <t xml:space="preserve">   6502</t>
  </si>
  <si>
    <t>Interest Expense</t>
  </si>
  <si>
    <t xml:space="preserve">   6503</t>
  </si>
  <si>
    <t>Transportation</t>
  </si>
  <si>
    <t xml:space="preserve">   6504</t>
  </si>
  <si>
    <t>Food Service</t>
  </si>
  <si>
    <t xml:space="preserve">   6505</t>
  </si>
  <si>
    <t>Administration Fee to PCSB</t>
  </si>
  <si>
    <t xml:space="preserve">   6506</t>
  </si>
  <si>
    <t>Other General Expense</t>
  </si>
  <si>
    <t xml:space="preserve">   6507</t>
  </si>
  <si>
    <t>EMO Management Fee</t>
  </si>
  <si>
    <t xml:space="preserve">   6508</t>
  </si>
  <si>
    <t>Recruitement</t>
  </si>
  <si>
    <t xml:space="preserve">   6509 </t>
  </si>
  <si>
    <t>Bank Service Fee</t>
  </si>
  <si>
    <t xml:space="preserve">   6510</t>
  </si>
  <si>
    <t>Fundraising</t>
  </si>
  <si>
    <t>Total 6500 - General Expense</t>
  </si>
  <si>
    <t>6600 - Web Design</t>
  </si>
  <si>
    <t xml:space="preserve">6800 - Contingency </t>
  </si>
  <si>
    <t>Total Expenses</t>
  </si>
  <si>
    <t>Change in Net Assets</t>
  </si>
  <si>
    <t>FY18 BUDGET Charter Board Submission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</si>
</sst>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&quot;$&quot;* #,##0.00;\(&quot;$&quot;* #,##0.00\)"/>
    <numFmt numFmtId="166" formatCode="#,##0.00;\(#,##0.00\)"/>
    <numFmt numFmtId="167" formatCode="0.0%"/>
  </numFmts>
  <fonts count="26" x14ac:knownFonts="1">
    <font>
      <sz val="10"/>
      <name val="Arial"/>
    </font>
    <font>
      <b/>
      <sz val="18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indexed="8"/>
      <name val="Times New Roman"/>
      <family val="1"/>
    </font>
    <font>
      <sz val="10"/>
      <name val="Calibri"/>
      <family val="2"/>
      <scheme val="minor"/>
    </font>
    <font>
      <sz val="10"/>
      <name val="Arial"/>
      <family val="2"/>
    </font>
    <font>
      <b/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20"/>
      <color indexed="8"/>
      <name val="Calibri"/>
      <family val="2"/>
      <scheme val="minor"/>
    </font>
    <font>
      <b/>
      <sz val="20"/>
      <name val="Calibri"/>
      <family val="2"/>
      <scheme val="minor"/>
    </font>
    <font>
      <sz val="20"/>
      <color indexed="8"/>
      <name val="Calibri"/>
      <family val="2"/>
      <scheme val="minor"/>
    </font>
    <font>
      <b/>
      <sz val="20"/>
      <color indexed="8"/>
      <name val="Gill Sans Ultra Bold"/>
      <family val="2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0"/>
      <color indexed="8"/>
      <name val="Times New Roman"/>
      <family val="1"/>
    </font>
    <font>
      <b/>
      <sz val="11"/>
      <color indexed="8"/>
      <name val="Calibri"/>
      <family val="2"/>
      <scheme val="minor"/>
    </font>
    <font>
      <sz val="10"/>
      <name val="Calibri"/>
      <family val="2"/>
    </font>
    <font>
      <sz val="10"/>
      <color indexed="63"/>
      <name val="Calibri"/>
      <family val="2"/>
      <scheme val="minor"/>
    </font>
    <font>
      <sz val="10"/>
      <color indexed="8"/>
      <name val="Times New Roman"/>
      <family val="1"/>
    </font>
    <font>
      <sz val="10"/>
      <color indexed="8"/>
      <name val="Calibri"/>
      <family val="2"/>
    </font>
    <font>
      <b/>
      <sz val="10"/>
      <name val="Arial"/>
      <family val="2"/>
    </font>
    <font>
      <b/>
      <sz val="10"/>
      <color indexed="10"/>
      <name val="Calibri"/>
      <family val="2"/>
      <scheme val="minor"/>
    </font>
    <font>
      <b/>
      <sz val="10"/>
      <color indexed="8"/>
      <name val="Calibri"/>
      <family val="2"/>
    </font>
    <font>
      <b/>
      <sz val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2">
    <xf numFmtId="0" fontId="0" fillId="0" borderId="0" xfId="0"/>
    <xf numFmtId="49" fontId="2" fillId="0" borderId="0" xfId="0" applyNumberFormat="1" applyFont="1" applyAlignment="1"/>
    <xf numFmtId="49" fontId="3" fillId="0" borderId="0" xfId="0" applyNumberFormat="1" applyFont="1" applyAlignment="1"/>
    <xf numFmtId="0" fontId="4" fillId="0" borderId="0" xfId="0" applyFont="1"/>
    <xf numFmtId="49" fontId="2" fillId="0" borderId="0" xfId="0" applyNumberFormat="1" applyFont="1" applyFill="1" applyAlignment="1"/>
    <xf numFmtId="164" fontId="2" fillId="2" borderId="0" xfId="1" applyNumberFormat="1" applyFont="1" applyFill="1" applyAlignment="1"/>
    <xf numFmtId="164" fontId="6" fillId="2" borderId="0" xfId="1" applyNumberFormat="1" applyFont="1" applyFill="1" applyAlignment="1"/>
    <xf numFmtId="49" fontId="2" fillId="2" borderId="0" xfId="0" applyNumberFormat="1" applyFont="1" applyFill="1" applyAlignment="1"/>
    <xf numFmtId="49" fontId="2" fillId="0" borderId="0" xfId="0" applyNumberFormat="1" applyFont="1" applyFill="1" applyAlignment="1">
      <alignment horizontal="right"/>
    </xf>
    <xf numFmtId="49" fontId="7" fillId="0" borderId="0" xfId="0" applyNumberFormat="1" applyFont="1" applyAlignment="1"/>
    <xf numFmtId="49" fontId="8" fillId="0" borderId="0" xfId="0" applyNumberFormat="1" applyFont="1" applyAlignment="1"/>
    <xf numFmtId="49" fontId="9" fillId="0" borderId="0" xfId="0" applyNumberFormat="1" applyFont="1" applyAlignment="1"/>
    <xf numFmtId="49" fontId="9" fillId="0" borderId="0" xfId="0" applyNumberFormat="1" applyFont="1" applyFill="1" applyAlignment="1"/>
    <xf numFmtId="164" fontId="9" fillId="2" borderId="0" xfId="1" applyNumberFormat="1" applyFont="1" applyFill="1" applyAlignment="1"/>
    <xf numFmtId="49" fontId="9" fillId="2" borderId="0" xfId="0" applyNumberFormat="1" applyFont="1" applyFill="1" applyAlignment="1"/>
    <xf numFmtId="49" fontId="9" fillId="0" borderId="0" xfId="0" applyNumberFormat="1" applyFont="1" applyFill="1" applyAlignment="1">
      <alignment horizontal="right"/>
    </xf>
    <xf numFmtId="49" fontId="10" fillId="0" borderId="0" xfId="0" applyNumberFormat="1" applyFont="1" applyAlignment="1"/>
    <xf numFmtId="49" fontId="11" fillId="0" borderId="0" xfId="0" applyNumberFormat="1" applyFont="1" applyAlignment="1"/>
    <xf numFmtId="49" fontId="12" fillId="0" borderId="0" xfId="0" applyNumberFormat="1" applyFont="1" applyAlignment="1"/>
    <xf numFmtId="0" fontId="13" fillId="0" borderId="0" xfId="0" applyFont="1"/>
    <xf numFmtId="49" fontId="14" fillId="0" borderId="0" xfId="0" applyNumberFormat="1" applyFont="1" applyAlignment="1">
      <alignment horizontal="left" wrapText="1"/>
    </xf>
    <xf numFmtId="49" fontId="14" fillId="0" borderId="0" xfId="0" applyNumberFormat="1" applyFont="1" applyFill="1" applyAlignment="1">
      <alignment horizontal="center" wrapText="1"/>
    </xf>
    <xf numFmtId="49" fontId="14" fillId="0" borderId="0" xfId="0" applyNumberFormat="1" applyFont="1" applyAlignment="1">
      <alignment horizontal="center" wrapText="1"/>
    </xf>
    <xf numFmtId="164" fontId="6" fillId="2" borderId="0" xfId="1" applyNumberFormat="1" applyFont="1" applyFill="1" applyAlignment="1">
      <alignment horizontal="center" wrapText="1"/>
    </xf>
    <xf numFmtId="4" fontId="6" fillId="2" borderId="0" xfId="0" applyNumberFormat="1" applyFont="1" applyFill="1" applyAlignment="1">
      <alignment horizontal="center" wrapText="1"/>
    </xf>
    <xf numFmtId="1" fontId="4" fillId="0" borderId="0" xfId="0" applyNumberFormat="1" applyFont="1" applyFill="1" applyAlignment="1">
      <alignment horizontal="center" wrapText="1"/>
    </xf>
    <xf numFmtId="1" fontId="14" fillId="0" borderId="0" xfId="0" applyNumberFormat="1" applyFont="1" applyFill="1" applyAlignment="1">
      <alignment horizontal="center" wrapText="1"/>
    </xf>
    <xf numFmtId="0" fontId="14" fillId="0" borderId="0" xfId="0" applyFont="1" applyBorder="1" applyAlignment="1">
      <alignment horizontal="center"/>
    </xf>
    <xf numFmtId="0" fontId="16" fillId="0" borderId="0" xfId="0" applyFont="1" applyBorder="1" applyAlignment="1"/>
    <xf numFmtId="49" fontId="17" fillId="0" borderId="0" xfId="0" applyNumberFormat="1" applyFont="1" applyAlignment="1">
      <alignment horizontal="left"/>
    </xf>
    <xf numFmtId="0" fontId="6" fillId="0" borderId="0" xfId="0" applyFont="1" applyFill="1"/>
    <xf numFmtId="0" fontId="6" fillId="0" borderId="0" xfId="0" applyFont="1"/>
    <xf numFmtId="164" fontId="6" fillId="2" borderId="0" xfId="1" applyNumberFormat="1" applyFont="1" applyFill="1" applyAlignment="1">
      <alignment horizontal="center"/>
    </xf>
    <xf numFmtId="164" fontId="6" fillId="2" borderId="0" xfId="1" applyNumberFormat="1" applyFont="1" applyFill="1"/>
    <xf numFmtId="4" fontId="6" fillId="2" borderId="0" xfId="0" applyNumberFormat="1" applyFont="1" applyFill="1" applyAlignment="1">
      <alignment horizontal="center"/>
    </xf>
    <xf numFmtId="4" fontId="6" fillId="0" borderId="4" xfId="0" applyNumberFormat="1" applyFont="1" applyFill="1" applyBorder="1" applyAlignment="1">
      <alignment horizontal="right"/>
    </xf>
    <xf numFmtId="4" fontId="6" fillId="0" borderId="0" xfId="0" applyNumberFormat="1" applyFont="1" applyFill="1" applyBorder="1" applyAlignment="1">
      <alignment horizontal="right"/>
    </xf>
    <xf numFmtId="4" fontId="6" fillId="0" borderId="5" xfId="0" applyNumberFormat="1" applyFont="1" applyFill="1" applyBorder="1" applyAlignment="1">
      <alignment horizontal="center"/>
    </xf>
    <xf numFmtId="1" fontId="4" fillId="0" borderId="0" xfId="0" applyNumberFormat="1" applyFont="1"/>
    <xf numFmtId="1" fontId="6" fillId="0" borderId="0" xfId="0" applyNumberFormat="1" applyFont="1"/>
    <xf numFmtId="0" fontId="14" fillId="0" borderId="0" xfId="0" applyFont="1"/>
    <xf numFmtId="0" fontId="16" fillId="0" borderId="0" xfId="0" applyFont="1"/>
    <xf numFmtId="49" fontId="6" fillId="0" borderId="0" xfId="0" applyNumberFormat="1" applyFont="1" applyAlignment="1">
      <alignment horizontal="left"/>
    </xf>
    <xf numFmtId="4" fontId="6" fillId="2" borderId="0" xfId="0" applyNumberFormat="1" applyFont="1" applyFill="1"/>
    <xf numFmtId="4" fontId="6" fillId="0" borderId="6" xfId="0" applyNumberFormat="1" applyFont="1" applyFill="1" applyBorder="1" applyAlignment="1">
      <alignment horizontal="center"/>
    </xf>
    <xf numFmtId="4" fontId="6" fillId="0" borderId="0" xfId="0" applyNumberFormat="1" applyFont="1" applyFill="1" applyBorder="1"/>
    <xf numFmtId="4" fontId="6" fillId="0" borderId="5" xfId="0" applyNumberFormat="1" applyFont="1" applyFill="1" applyBorder="1"/>
    <xf numFmtId="10" fontId="13" fillId="0" borderId="0" xfId="0" applyNumberFormat="1" applyFont="1"/>
    <xf numFmtId="10" fontId="6" fillId="0" borderId="0" xfId="0" applyNumberFormat="1" applyFont="1"/>
    <xf numFmtId="4" fontId="6" fillId="0" borderId="6" xfId="0" applyNumberFormat="1" applyFont="1" applyFill="1" applyBorder="1"/>
    <xf numFmtId="49" fontId="14" fillId="0" borderId="0" xfId="0" applyNumberFormat="1" applyFont="1" applyAlignment="1">
      <alignment horizontal="left"/>
    </xf>
    <xf numFmtId="49" fontId="14" fillId="0" borderId="0" xfId="0" applyNumberFormat="1" applyFont="1" applyFill="1" applyAlignment="1">
      <alignment horizontal="left"/>
    </xf>
    <xf numFmtId="165" fontId="14" fillId="0" borderId="0" xfId="0" applyNumberFormat="1" applyFont="1" applyAlignment="1">
      <alignment horizontal="right"/>
    </xf>
    <xf numFmtId="165" fontId="14" fillId="0" borderId="0" xfId="0" applyNumberFormat="1" applyFont="1" applyFill="1" applyAlignment="1">
      <alignment horizontal="right"/>
    </xf>
    <xf numFmtId="164" fontId="18" fillId="3" borderId="0" xfId="1" applyNumberFormat="1" applyFont="1" applyFill="1" applyBorder="1" applyAlignment="1" applyProtection="1"/>
    <xf numFmtId="164" fontId="19" fillId="4" borderId="0" xfId="1" applyNumberFormat="1" applyFont="1" applyFill="1" applyBorder="1" applyAlignment="1" applyProtection="1"/>
    <xf numFmtId="164" fontId="19" fillId="5" borderId="0" xfId="1" applyNumberFormat="1" applyFont="1" applyFill="1" applyBorder="1" applyAlignment="1" applyProtection="1"/>
    <xf numFmtId="4" fontId="4" fillId="2" borderId="0" xfId="1" applyNumberFormat="1" applyFont="1" applyFill="1"/>
    <xf numFmtId="4" fontId="4" fillId="0" borderId="0" xfId="1" applyNumberFormat="1" applyFont="1" applyFill="1" applyAlignment="1">
      <alignment horizontal="right"/>
    </xf>
    <xf numFmtId="4" fontId="4" fillId="0" borderId="0" xfId="1" applyNumberFormat="1" applyFont="1" applyFill="1"/>
    <xf numFmtId="10" fontId="4" fillId="0" borderId="0" xfId="1" applyNumberFormat="1" applyFont="1"/>
    <xf numFmtId="0" fontId="20" fillId="0" borderId="0" xfId="0" applyFont="1"/>
    <xf numFmtId="166" fontId="14" fillId="0" borderId="0" xfId="0" applyNumberFormat="1" applyFont="1" applyAlignment="1">
      <alignment horizontal="right"/>
    </xf>
    <xf numFmtId="166" fontId="14" fillId="0" borderId="0" xfId="0" applyNumberFormat="1" applyFont="1" applyFill="1" applyAlignment="1">
      <alignment horizontal="right"/>
    </xf>
    <xf numFmtId="164" fontId="21" fillId="3" borderId="0" xfId="1" applyNumberFormat="1" applyFont="1" applyFill="1" applyBorder="1" applyAlignment="1" applyProtection="1"/>
    <xf numFmtId="4" fontId="14" fillId="2" borderId="0" xfId="0" applyNumberFormat="1" applyFont="1" applyFill="1"/>
    <xf numFmtId="4" fontId="14" fillId="0" borderId="0" xfId="0" applyNumberFormat="1" applyFont="1" applyFill="1" applyAlignment="1">
      <alignment horizontal="right"/>
    </xf>
    <xf numFmtId="4" fontId="14" fillId="0" borderId="0" xfId="0" applyNumberFormat="1" applyFont="1" applyFill="1"/>
    <xf numFmtId="10" fontId="4" fillId="0" borderId="0" xfId="0" applyNumberFormat="1" applyFont="1"/>
    <xf numFmtId="10" fontId="14" fillId="0" borderId="0" xfId="0" applyNumberFormat="1" applyFont="1"/>
    <xf numFmtId="0" fontId="22" fillId="0" borderId="0" xfId="0" applyFont="1"/>
    <xf numFmtId="164" fontId="14" fillId="3" borderId="0" xfId="1" applyNumberFormat="1" applyFont="1" applyFill="1" applyBorder="1"/>
    <xf numFmtId="164" fontId="14" fillId="4" borderId="0" xfId="1" applyNumberFormat="1" applyFont="1" applyFill="1" applyBorder="1"/>
    <xf numFmtId="164" fontId="14" fillId="5" borderId="0" xfId="1" applyNumberFormat="1" applyFont="1" applyFill="1" applyBorder="1"/>
    <xf numFmtId="4" fontId="14" fillId="2" borderId="0" xfId="0" applyNumberFormat="1" applyFont="1" applyFill="1" applyBorder="1"/>
    <xf numFmtId="4" fontId="14" fillId="0" borderId="0" xfId="0" applyNumberFormat="1" applyFont="1" applyFill="1" applyBorder="1" applyAlignment="1">
      <alignment horizontal="right"/>
    </xf>
    <xf numFmtId="4" fontId="14" fillId="0" borderId="0" xfId="0" applyNumberFormat="1" applyFont="1" applyFill="1" applyBorder="1"/>
    <xf numFmtId="10" fontId="4" fillId="0" borderId="0" xfId="0" applyNumberFormat="1" applyFont="1" applyBorder="1"/>
    <xf numFmtId="10" fontId="14" fillId="0" borderId="0" xfId="0" applyNumberFormat="1" applyFont="1" applyBorder="1"/>
    <xf numFmtId="164" fontId="14" fillId="3" borderId="7" xfId="1" applyNumberFormat="1" applyFont="1" applyFill="1" applyBorder="1"/>
    <xf numFmtId="164" fontId="14" fillId="4" borderId="7" xfId="1" applyNumberFormat="1" applyFont="1" applyFill="1" applyBorder="1"/>
    <xf numFmtId="164" fontId="14" fillId="5" borderId="7" xfId="1" applyNumberFormat="1" applyFont="1" applyFill="1" applyBorder="1"/>
    <xf numFmtId="4" fontId="14" fillId="2" borderId="7" xfId="0" applyNumberFormat="1" applyFont="1" applyFill="1" applyBorder="1"/>
    <xf numFmtId="4" fontId="14" fillId="0" borderId="7" xfId="0" applyNumberFormat="1" applyFont="1" applyFill="1" applyBorder="1" applyAlignment="1">
      <alignment horizontal="right"/>
    </xf>
    <xf numFmtId="4" fontId="14" fillId="0" borderId="7" xfId="0" applyNumberFormat="1" applyFont="1" applyFill="1" applyBorder="1"/>
    <xf numFmtId="49" fontId="6" fillId="0" borderId="0" xfId="0" applyNumberFormat="1" applyFont="1" applyFill="1" applyAlignment="1">
      <alignment horizontal="left"/>
    </xf>
    <xf numFmtId="166" fontId="6" fillId="0" borderId="0" xfId="0" applyNumberFormat="1" applyFont="1" applyAlignment="1">
      <alignment horizontal="right"/>
    </xf>
    <xf numFmtId="166" fontId="6" fillId="0" borderId="0" xfId="0" applyNumberFormat="1" applyFont="1" applyFill="1" applyAlignment="1">
      <alignment horizontal="right"/>
    </xf>
    <xf numFmtId="164" fontId="13" fillId="3" borderId="0" xfId="1" applyNumberFormat="1" applyFont="1" applyFill="1"/>
    <xf numFmtId="164" fontId="6" fillId="4" borderId="0" xfId="1" applyNumberFormat="1" applyFont="1" applyFill="1"/>
    <xf numFmtId="164" fontId="6" fillId="5" borderId="0" xfId="1" applyNumberFormat="1" applyFont="1" applyFill="1"/>
    <xf numFmtId="4" fontId="6" fillId="0" borderId="0" xfId="0" applyNumberFormat="1" applyFont="1" applyFill="1" applyAlignment="1">
      <alignment horizontal="right"/>
    </xf>
    <xf numFmtId="4" fontId="6" fillId="0" borderId="0" xfId="0" applyNumberFormat="1" applyFont="1" applyFill="1"/>
    <xf numFmtId="4" fontId="14" fillId="0" borderId="0" xfId="0" applyNumberFormat="1" applyFont="1" applyAlignment="1"/>
    <xf numFmtId="0" fontId="16" fillId="0" borderId="0" xfId="0" applyFont="1" applyAlignment="1"/>
    <xf numFmtId="49" fontId="14" fillId="0" borderId="0" xfId="0" applyNumberFormat="1" applyFont="1" applyAlignment="1">
      <alignment horizontal="center"/>
    </xf>
    <xf numFmtId="0" fontId="14" fillId="0" borderId="0" xfId="0" applyFont="1" applyFill="1"/>
    <xf numFmtId="164" fontId="14" fillId="3" borderId="0" xfId="1" applyNumberFormat="1" applyFont="1" applyFill="1"/>
    <xf numFmtId="164" fontId="14" fillId="4" borderId="0" xfId="1" applyNumberFormat="1" applyFont="1" applyFill="1"/>
    <xf numFmtId="164" fontId="14" fillId="5" borderId="0" xfId="1" applyNumberFormat="1" applyFont="1" applyFill="1"/>
    <xf numFmtId="49" fontId="4" fillId="0" borderId="0" xfId="0" applyNumberFormat="1" applyFont="1" applyFill="1" applyAlignment="1">
      <alignment horizontal="left"/>
    </xf>
    <xf numFmtId="4" fontId="4" fillId="2" borderId="0" xfId="0" applyNumberFormat="1" applyFont="1" applyFill="1"/>
    <xf numFmtId="4" fontId="4" fillId="0" borderId="0" xfId="0" applyNumberFormat="1" applyFont="1" applyFill="1" applyAlignment="1">
      <alignment horizontal="right"/>
    </xf>
    <xf numFmtId="4" fontId="4" fillId="0" borderId="0" xfId="0" applyNumberFormat="1" applyFont="1" applyFill="1"/>
    <xf numFmtId="0" fontId="14" fillId="0" borderId="0" xfId="0" applyFont="1" applyAlignment="1"/>
    <xf numFmtId="164" fontId="6" fillId="3" borderId="8" xfId="1" applyNumberFormat="1" applyFont="1" applyFill="1" applyBorder="1" applyAlignment="1">
      <alignment horizontal="right"/>
    </xf>
    <xf numFmtId="164" fontId="6" fillId="4" borderId="8" xfId="1" applyNumberFormat="1" applyFont="1" applyFill="1" applyBorder="1" applyAlignment="1">
      <alignment horizontal="right"/>
    </xf>
    <xf numFmtId="164" fontId="6" fillId="5" borderId="8" xfId="1" applyNumberFormat="1" applyFont="1" applyFill="1" applyBorder="1" applyAlignment="1">
      <alignment horizontal="right"/>
    </xf>
    <xf numFmtId="4" fontId="6" fillId="2" borderId="8" xfId="0" applyNumberFormat="1" applyFont="1" applyFill="1" applyBorder="1" applyAlignment="1">
      <alignment horizontal="right"/>
    </xf>
    <xf numFmtId="4" fontId="6" fillId="0" borderId="8" xfId="0" applyNumberFormat="1" applyFont="1" applyFill="1" applyBorder="1" applyAlignment="1">
      <alignment horizontal="right"/>
    </xf>
    <xf numFmtId="10" fontId="23" fillId="0" borderId="0" xfId="0" applyNumberFormat="1" applyFont="1"/>
    <xf numFmtId="4" fontId="14" fillId="0" borderId="0" xfId="0" applyNumberFormat="1" applyFont="1"/>
    <xf numFmtId="49" fontId="4" fillId="0" borderId="0" xfId="0" applyNumberFormat="1" applyFont="1" applyAlignment="1">
      <alignment horizontal="left"/>
    </xf>
    <xf numFmtId="166" fontId="4" fillId="0" borderId="9" xfId="0" applyNumberFormat="1" applyFont="1" applyBorder="1" applyAlignment="1">
      <alignment horizontal="right"/>
    </xf>
    <xf numFmtId="166" fontId="4" fillId="0" borderId="9" xfId="0" applyNumberFormat="1" applyFont="1" applyFill="1" applyBorder="1" applyAlignment="1">
      <alignment horizontal="right"/>
    </xf>
    <xf numFmtId="164" fontId="4" fillId="3" borderId="0" xfId="1" applyNumberFormat="1" applyFont="1" applyFill="1"/>
    <xf numFmtId="164" fontId="4" fillId="4" borderId="0" xfId="1" applyNumberFormat="1" applyFont="1" applyFill="1"/>
    <xf numFmtId="164" fontId="4" fillId="5" borderId="0" xfId="1" applyNumberFormat="1" applyFont="1" applyFill="1"/>
    <xf numFmtId="164" fontId="6" fillId="3" borderId="0" xfId="1" applyNumberFormat="1" applyFont="1" applyFill="1"/>
    <xf numFmtId="164" fontId="21" fillId="3" borderId="7" xfId="1" applyNumberFormat="1" applyFont="1" applyFill="1" applyBorder="1" applyAlignment="1" applyProtection="1"/>
    <xf numFmtId="49" fontId="6" fillId="6" borderId="0" xfId="0" applyNumberFormat="1" applyFont="1" applyFill="1" applyAlignment="1">
      <alignment horizontal="left"/>
    </xf>
    <xf numFmtId="0" fontId="14" fillId="6" borderId="0" xfId="0" applyFont="1" applyFill="1"/>
    <xf numFmtId="164" fontId="14" fillId="6" borderId="0" xfId="1" applyNumberFormat="1" applyFont="1" applyFill="1"/>
    <xf numFmtId="164" fontId="4" fillId="0" borderId="0" xfId="1" applyNumberFormat="1" applyFont="1"/>
    <xf numFmtId="4" fontId="14" fillId="6" borderId="0" xfId="0" applyNumberFormat="1" applyFont="1" applyFill="1"/>
    <xf numFmtId="4" fontId="6" fillId="6" borderId="0" xfId="0" applyNumberFormat="1" applyFont="1" applyFill="1" applyAlignment="1">
      <alignment horizontal="right"/>
    </xf>
    <xf numFmtId="4" fontId="14" fillId="6" borderId="0" xfId="0" applyNumberFormat="1" applyFont="1" applyFill="1" applyAlignment="1">
      <alignment horizontal="right"/>
    </xf>
    <xf numFmtId="4" fontId="6" fillId="6" borderId="0" xfId="0" applyNumberFormat="1" applyFont="1" applyFill="1"/>
    <xf numFmtId="164" fontId="4" fillId="3" borderId="7" xfId="1" applyNumberFormat="1" applyFont="1" applyFill="1" applyBorder="1"/>
    <xf numFmtId="164" fontId="4" fillId="4" borderId="7" xfId="1" applyNumberFormat="1" applyFont="1" applyFill="1" applyBorder="1"/>
    <xf numFmtId="164" fontId="4" fillId="5" borderId="7" xfId="1" applyNumberFormat="1" applyFont="1" applyFill="1" applyBorder="1"/>
    <xf numFmtId="4" fontId="4" fillId="2" borderId="7" xfId="0" applyNumberFormat="1" applyFont="1" applyFill="1" applyBorder="1"/>
    <xf numFmtId="4" fontId="4" fillId="0" borderId="7" xfId="0" applyNumberFormat="1" applyFont="1" applyFill="1" applyBorder="1" applyAlignment="1">
      <alignment horizontal="right"/>
    </xf>
    <xf numFmtId="4" fontId="4" fillId="0" borderId="7" xfId="0" applyNumberFormat="1" applyFont="1" applyFill="1" applyBorder="1"/>
    <xf numFmtId="1" fontId="4" fillId="0" borderId="0" xfId="0" applyNumberFormat="1" applyFont="1" applyBorder="1"/>
    <xf numFmtId="164" fontId="13" fillId="4" borderId="0" xfId="1" applyNumberFormat="1" applyFont="1" applyFill="1"/>
    <xf numFmtId="164" fontId="13" fillId="5" borderId="0" xfId="1" applyNumberFormat="1" applyFont="1" applyFill="1"/>
    <xf numFmtId="0" fontId="16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164" fontId="24" fillId="3" borderId="0" xfId="1" applyNumberFormat="1" applyFont="1" applyFill="1" applyBorder="1" applyAlignment="1" applyProtection="1"/>
    <xf numFmtId="164" fontId="22" fillId="3" borderId="0" xfId="1" applyNumberFormat="1" applyFont="1" applyFill="1" applyBorder="1" applyAlignment="1" applyProtection="1"/>
    <xf numFmtId="0" fontId="22" fillId="0" borderId="0" xfId="0" applyFont="1" applyFill="1"/>
    <xf numFmtId="164" fontId="19" fillId="4" borderId="7" xfId="1" applyNumberFormat="1" applyFont="1" applyFill="1" applyBorder="1" applyAlignment="1" applyProtection="1"/>
    <xf numFmtId="164" fontId="19" fillId="5" borderId="7" xfId="1" applyNumberFormat="1" applyFont="1" applyFill="1" applyBorder="1" applyAlignment="1" applyProtection="1"/>
    <xf numFmtId="4" fontId="6" fillId="2" borderId="7" xfId="0" applyNumberFormat="1" applyFont="1" applyFill="1" applyBorder="1"/>
    <xf numFmtId="4" fontId="6" fillId="0" borderId="7" xfId="0" applyNumberFormat="1" applyFont="1" applyFill="1" applyBorder="1" applyAlignment="1">
      <alignment horizontal="right"/>
    </xf>
    <xf numFmtId="10" fontId="14" fillId="0" borderId="0" xfId="0" applyNumberFormat="1" applyFont="1" applyAlignment="1">
      <alignment horizontal="left"/>
    </xf>
    <xf numFmtId="164" fontId="19" fillId="4" borderId="10" xfId="1" applyNumberFormat="1" applyFont="1" applyFill="1" applyBorder="1" applyAlignment="1" applyProtection="1"/>
    <xf numFmtId="164" fontId="19" fillId="5" borderId="10" xfId="1" applyNumberFormat="1" applyFont="1" applyFill="1" applyBorder="1" applyAlignment="1" applyProtection="1"/>
    <xf numFmtId="167" fontId="14" fillId="0" borderId="0" xfId="2" applyNumberFormat="1" applyFont="1" applyAlignment="1">
      <alignment horizontal="left"/>
    </xf>
    <xf numFmtId="4" fontId="13" fillId="0" borderId="0" xfId="0" applyNumberFormat="1" applyFont="1" applyFill="1" applyAlignment="1">
      <alignment horizontal="right"/>
    </xf>
    <xf numFmtId="0" fontId="6" fillId="0" borderId="0" xfId="0" applyFont="1" applyFill="1" applyAlignment="1"/>
    <xf numFmtId="0" fontId="16" fillId="0" borderId="0" xfId="0" applyFont="1" applyFill="1" applyAlignment="1">
      <alignment horizontal="left"/>
    </xf>
    <xf numFmtId="10" fontId="14" fillId="0" borderId="0" xfId="0" applyNumberFormat="1" applyFont="1" applyFill="1" applyAlignment="1">
      <alignment horizontal="left"/>
    </xf>
    <xf numFmtId="167" fontId="14" fillId="0" borderId="0" xfId="2" applyNumberFormat="1" applyFont="1" applyFill="1" applyAlignment="1">
      <alignment horizontal="left"/>
    </xf>
    <xf numFmtId="0" fontId="14" fillId="0" borderId="0" xfId="0" applyFont="1" applyFill="1" applyAlignment="1"/>
    <xf numFmtId="0" fontId="16" fillId="0" borderId="0" xfId="0" applyFont="1" applyFill="1" applyAlignment="1"/>
    <xf numFmtId="164" fontId="25" fillId="3" borderId="0" xfId="1" applyNumberFormat="1" applyFont="1" applyFill="1" applyBorder="1" applyAlignment="1" applyProtection="1"/>
    <xf numFmtId="4" fontId="13" fillId="0" borderId="0" xfId="0" applyNumberFormat="1" applyFont="1"/>
    <xf numFmtId="4" fontId="13" fillId="0" borderId="0" xfId="0" applyNumberFormat="1" applyFont="1" applyFill="1"/>
    <xf numFmtId="0" fontId="16" fillId="0" borderId="0" xfId="0" applyFont="1" applyAlignment="1">
      <alignment wrapText="1"/>
    </xf>
    <xf numFmtId="10" fontId="4" fillId="0" borderId="0" xfId="0" applyNumberFormat="1" applyFont="1" applyFill="1"/>
    <xf numFmtId="10" fontId="14" fillId="0" borderId="0" xfId="0" applyNumberFormat="1" applyFont="1" applyFill="1"/>
    <xf numFmtId="0" fontId="14" fillId="0" borderId="0" xfId="0" applyFont="1" applyAlignment="1">
      <alignment horizontal="left" wrapText="1"/>
    </xf>
    <xf numFmtId="4" fontId="4" fillId="2" borderId="0" xfId="0" applyNumberFormat="1" applyFont="1" applyFill="1" applyBorder="1"/>
    <xf numFmtId="4" fontId="4" fillId="0" borderId="0" xfId="0" applyNumberFormat="1" applyFont="1" applyFill="1" applyBorder="1" applyAlignment="1">
      <alignment horizontal="right"/>
    </xf>
    <xf numFmtId="4" fontId="4" fillId="0" borderId="0" xfId="0" applyNumberFormat="1" applyFont="1" applyFill="1" applyBorder="1"/>
    <xf numFmtId="164" fontId="13" fillId="3" borderId="0" xfId="1" applyNumberFormat="1" applyFont="1" applyFill="1" applyBorder="1"/>
    <xf numFmtId="164" fontId="13" fillId="4" borderId="0" xfId="1" applyNumberFormat="1" applyFont="1" applyFill="1" applyBorder="1"/>
    <xf numFmtId="164" fontId="13" fillId="5" borderId="0" xfId="1" applyNumberFormat="1" applyFont="1" applyFill="1" applyBorder="1"/>
    <xf numFmtId="4" fontId="6" fillId="2" borderId="0" xfId="0" applyNumberFormat="1" applyFont="1" applyFill="1" applyBorder="1"/>
    <xf numFmtId="4" fontId="13" fillId="2" borderId="0" xfId="0" applyNumberFormat="1" applyFont="1" applyFill="1"/>
    <xf numFmtId="0" fontId="13" fillId="0" borderId="0" xfId="0" applyFont="1" applyFill="1"/>
    <xf numFmtId="10" fontId="13" fillId="0" borderId="0" xfId="0" applyNumberFormat="1" applyFont="1" applyFill="1"/>
    <xf numFmtId="10" fontId="6" fillId="0" borderId="0" xfId="0" applyNumberFormat="1" applyFont="1" applyFill="1"/>
    <xf numFmtId="0" fontId="4" fillId="0" borderId="0" xfId="0" applyFont="1" applyFill="1"/>
    <xf numFmtId="49" fontId="13" fillId="0" borderId="0" xfId="0" applyNumberFormat="1" applyFont="1" applyFill="1" applyAlignment="1">
      <alignment horizontal="left"/>
    </xf>
    <xf numFmtId="166" fontId="13" fillId="0" borderId="9" xfId="0" applyNumberFormat="1" applyFont="1" applyBorder="1" applyAlignment="1">
      <alignment horizontal="right"/>
    </xf>
    <xf numFmtId="166" fontId="13" fillId="0" borderId="9" xfId="0" applyNumberFormat="1" applyFont="1" applyFill="1" applyBorder="1" applyAlignment="1">
      <alignment horizontal="right"/>
    </xf>
    <xf numFmtId="4" fontId="4" fillId="0" borderId="0" xfId="0" applyNumberFormat="1" applyFont="1"/>
    <xf numFmtId="164" fontId="13" fillId="3" borderId="0" xfId="1" applyNumberFormat="1" applyFont="1" applyFill="1" applyAlignment="1">
      <alignment horizontal="right"/>
    </xf>
    <xf numFmtId="164" fontId="13" fillId="4" borderId="0" xfId="1" applyNumberFormat="1" applyFont="1" applyFill="1" applyAlignment="1">
      <alignment horizontal="right"/>
    </xf>
    <xf numFmtId="164" fontId="13" fillId="5" borderId="0" xfId="1" applyNumberFormat="1" applyFont="1" applyFill="1" applyAlignment="1">
      <alignment horizontal="right"/>
    </xf>
    <xf numFmtId="4" fontId="6" fillId="2" borderId="0" xfId="0" applyNumberFormat="1" applyFont="1" applyFill="1" applyAlignment="1">
      <alignment horizontal="right"/>
    </xf>
    <xf numFmtId="49" fontId="13" fillId="0" borderId="0" xfId="0" applyNumberFormat="1" applyFont="1" applyAlignment="1">
      <alignment horizontal="left"/>
    </xf>
    <xf numFmtId="166" fontId="13" fillId="0" borderId="0" xfId="0" applyNumberFormat="1" applyFont="1" applyBorder="1" applyAlignment="1">
      <alignment horizontal="right"/>
    </xf>
    <xf numFmtId="166" fontId="13" fillId="0" borderId="0" xfId="0" applyNumberFormat="1" applyFont="1" applyFill="1" applyBorder="1" applyAlignment="1">
      <alignment horizontal="right"/>
    </xf>
    <xf numFmtId="4" fontId="13" fillId="2" borderId="0" xfId="0" applyNumberFormat="1" applyFont="1" applyFill="1" applyBorder="1"/>
    <xf numFmtId="4" fontId="13" fillId="0" borderId="0" xfId="0" applyNumberFormat="1" applyFont="1" applyFill="1" applyBorder="1" applyAlignment="1">
      <alignment horizontal="right"/>
    </xf>
    <xf numFmtId="4" fontId="13" fillId="0" borderId="0" xfId="0" applyNumberFormat="1" applyFont="1" applyFill="1" applyBorder="1"/>
    <xf numFmtId="165" fontId="6" fillId="0" borderId="7" xfId="0" applyNumberFormat="1" applyFont="1" applyBorder="1" applyAlignment="1">
      <alignment horizontal="right"/>
    </xf>
    <xf numFmtId="165" fontId="6" fillId="0" borderId="7" xfId="0" applyNumberFormat="1" applyFont="1" applyFill="1" applyBorder="1" applyAlignment="1">
      <alignment horizontal="right"/>
    </xf>
    <xf numFmtId="164" fontId="6" fillId="3" borderId="0" xfId="1" applyNumberFormat="1" applyFont="1" applyFill="1" applyBorder="1" applyAlignment="1">
      <alignment horizontal="right"/>
    </xf>
    <xf numFmtId="164" fontId="6" fillId="4" borderId="0" xfId="1" applyNumberFormat="1" applyFont="1" applyFill="1" applyBorder="1" applyAlignment="1">
      <alignment horizontal="right"/>
    </xf>
    <xf numFmtId="164" fontId="6" fillId="5" borderId="0" xfId="1" applyNumberFormat="1" applyFont="1" applyFill="1" applyBorder="1" applyAlignment="1">
      <alignment horizontal="right"/>
    </xf>
    <xf numFmtId="39" fontId="6" fillId="2" borderId="0" xfId="0" applyNumberFormat="1" applyFont="1" applyFill="1" applyBorder="1" applyAlignment="1">
      <alignment horizontal="right"/>
    </xf>
    <xf numFmtId="39" fontId="6" fillId="0" borderId="0" xfId="0" applyNumberFormat="1" applyFont="1" applyFill="1" applyBorder="1" applyAlignment="1">
      <alignment horizontal="right"/>
    </xf>
    <xf numFmtId="165" fontId="6" fillId="0" borderId="0" xfId="0" applyNumberFormat="1" applyFont="1" applyAlignment="1">
      <alignment horizontal="right"/>
    </xf>
    <xf numFmtId="165" fontId="6" fillId="0" borderId="0" xfId="0" applyNumberFormat="1" applyFont="1" applyFill="1" applyAlignment="1">
      <alignment horizontal="right"/>
    </xf>
    <xf numFmtId="4" fontId="6" fillId="2" borderId="0" xfId="0" applyNumberFormat="1" applyFont="1" applyFill="1" applyBorder="1" applyAlignment="1">
      <alignment horizontal="right"/>
    </xf>
    <xf numFmtId="0" fontId="6" fillId="0" borderId="0" xfId="0" applyFont="1" applyBorder="1"/>
    <xf numFmtId="0" fontId="6" fillId="0" borderId="0" xfId="0" applyFont="1" applyFill="1" applyBorder="1"/>
    <xf numFmtId="164" fontId="6" fillId="0" borderId="0" xfId="1" applyNumberFormat="1" applyFont="1"/>
    <xf numFmtId="4" fontId="6" fillId="0" borderId="0" xfId="0" applyNumberFormat="1" applyFont="1"/>
    <xf numFmtId="1" fontId="13" fillId="0" borderId="0" xfId="0" applyNumberFormat="1" applyFont="1"/>
    <xf numFmtId="164" fontId="4" fillId="0" borderId="0" xfId="1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4" fontId="15" fillId="0" borderId="1" xfId="0" applyNumberFormat="1" applyFont="1" applyFill="1" applyBorder="1" applyAlignment="1">
      <alignment horizontal="center" wrapText="1"/>
    </xf>
    <xf numFmtId="4" fontId="15" fillId="0" borderId="2" xfId="0" applyNumberFormat="1" applyFont="1" applyFill="1" applyBorder="1" applyAlignment="1">
      <alignment horizontal="center" wrapText="1"/>
    </xf>
    <xf numFmtId="4" fontId="15" fillId="0" borderId="3" xfId="0" applyNumberFormat="1" applyFont="1" applyFill="1" applyBorder="1" applyAlignment="1">
      <alignment horizontal="center" wrapText="1"/>
    </xf>
    <xf numFmtId="4" fontId="6" fillId="2" borderId="1" xfId="0" applyNumberFormat="1" applyFont="1" applyFill="1" applyBorder="1" applyAlignment="1">
      <alignment horizontal="center"/>
    </xf>
    <xf numFmtId="4" fontId="6" fillId="2" borderId="2" xfId="0" applyNumberFormat="1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nic_000/Downloads/FY18BudgetWORKBOOK_V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2018 System Total1"/>
      <sheetName val="PP revenue fy18"/>
      <sheetName val="Total Yr Bug &amp; Act. (Grouped)"/>
      <sheetName val="Capital"/>
      <sheetName val="comp &amp; ben fy18"/>
      <sheetName val="Contengency"/>
      <sheetName val="debt and banking fy18"/>
      <sheetName val="Direct Student"/>
      <sheetName val="General"/>
      <sheetName val="Leases"/>
      <sheetName val="Occupancy"/>
      <sheetName val="Office "/>
      <sheetName val="OtherPersonnel"/>
      <sheetName val="Outreach"/>
      <sheetName val="ProfessionalFees"/>
    </sheetNames>
    <sheetDataSet>
      <sheetData sheetId="0"/>
      <sheetData sheetId="1">
        <row r="4">
          <cell r="H4">
            <v>8447.880000000001</v>
          </cell>
        </row>
        <row r="5">
          <cell r="G5">
            <v>3140</v>
          </cell>
        </row>
        <row r="12">
          <cell r="H12">
            <v>5068728.0000000009</v>
          </cell>
        </row>
        <row r="22">
          <cell r="H22">
            <v>1884000</v>
          </cell>
        </row>
        <row r="25">
          <cell r="G25">
            <v>0</v>
          </cell>
        </row>
        <row r="33">
          <cell r="G33">
            <v>62574.552000000018</v>
          </cell>
        </row>
      </sheetData>
      <sheetData sheetId="2"/>
      <sheetData sheetId="3">
        <row r="7">
          <cell r="K7">
            <v>10000</v>
          </cell>
        </row>
        <row r="10">
          <cell r="K10">
            <v>600000</v>
          </cell>
        </row>
        <row r="18">
          <cell r="K18">
            <v>5000</v>
          </cell>
        </row>
        <row r="53">
          <cell r="K53">
            <v>5000</v>
          </cell>
        </row>
        <row r="66">
          <cell r="L66">
            <v>141512.33333333334</v>
          </cell>
        </row>
      </sheetData>
      <sheetData sheetId="4">
        <row r="5">
          <cell r="J5">
            <v>150769</v>
          </cell>
        </row>
        <row r="6">
          <cell r="J6">
            <v>53045</v>
          </cell>
        </row>
        <row r="7">
          <cell r="J7">
            <v>203814</v>
          </cell>
        </row>
        <row r="9">
          <cell r="J9">
            <v>122397</v>
          </cell>
        </row>
        <row r="10">
          <cell r="J10">
            <v>130398</v>
          </cell>
        </row>
        <row r="11">
          <cell r="J11">
            <v>34421</v>
          </cell>
        </row>
        <row r="12">
          <cell r="J12">
            <v>33000</v>
          </cell>
        </row>
        <row r="13">
          <cell r="J13">
            <v>320216</v>
          </cell>
        </row>
        <row r="15">
          <cell r="J15">
            <v>47522</v>
          </cell>
        </row>
        <row r="16">
          <cell r="J16">
            <v>43260</v>
          </cell>
        </row>
        <row r="17">
          <cell r="J17">
            <v>58381</v>
          </cell>
        </row>
        <row r="18">
          <cell r="J18">
            <v>60000</v>
          </cell>
        </row>
        <row r="19">
          <cell r="J19">
            <v>45000</v>
          </cell>
        </row>
        <row r="20">
          <cell r="J20">
            <v>254163</v>
          </cell>
        </row>
        <row r="22">
          <cell r="J22">
            <v>10000</v>
          </cell>
        </row>
        <row r="23">
          <cell r="J23">
            <v>10000</v>
          </cell>
        </row>
        <row r="24">
          <cell r="J24">
            <v>10000</v>
          </cell>
        </row>
        <row r="25">
          <cell r="J25">
            <v>10000</v>
          </cell>
        </row>
        <row r="26">
          <cell r="J26">
            <v>10000</v>
          </cell>
        </row>
        <row r="27">
          <cell r="J27">
            <v>50000</v>
          </cell>
        </row>
        <row r="29">
          <cell r="J29">
            <v>51500</v>
          </cell>
        </row>
        <row r="30">
          <cell r="J30">
            <v>79259</v>
          </cell>
        </row>
        <row r="31">
          <cell r="J31">
            <v>56650</v>
          </cell>
        </row>
        <row r="32">
          <cell r="J32">
            <v>56650</v>
          </cell>
        </row>
        <row r="34">
          <cell r="J34">
            <v>50400</v>
          </cell>
        </row>
        <row r="36">
          <cell r="J36">
            <v>414898</v>
          </cell>
        </row>
        <row r="43">
          <cell r="J43">
            <v>285108</v>
          </cell>
        </row>
        <row r="45">
          <cell r="J45">
            <v>65400</v>
          </cell>
        </row>
        <row r="46">
          <cell r="J46">
            <v>46350</v>
          </cell>
        </row>
        <row r="47">
          <cell r="J47">
            <v>56650</v>
          </cell>
        </row>
        <row r="48">
          <cell r="J48">
            <v>56650</v>
          </cell>
        </row>
        <row r="49">
          <cell r="J49">
            <v>42000</v>
          </cell>
        </row>
        <row r="50">
          <cell r="J50">
            <v>267050</v>
          </cell>
        </row>
        <row r="52">
          <cell r="J52">
            <v>20600</v>
          </cell>
        </row>
        <row r="53">
          <cell r="J53">
            <v>56650</v>
          </cell>
        </row>
        <row r="54">
          <cell r="J54">
            <v>58710</v>
          </cell>
        </row>
        <row r="55">
          <cell r="J55">
            <v>61800</v>
          </cell>
        </row>
        <row r="57">
          <cell r="J57">
            <v>18540</v>
          </cell>
        </row>
        <row r="58">
          <cell r="J58">
            <v>56228</v>
          </cell>
        </row>
        <row r="59">
          <cell r="J59">
            <v>0</v>
          </cell>
        </row>
        <row r="62">
          <cell r="J62">
            <v>461679</v>
          </cell>
        </row>
        <row r="68">
          <cell r="J68">
            <v>0</v>
          </cell>
        </row>
        <row r="74">
          <cell r="J74">
            <v>172654.992</v>
          </cell>
        </row>
        <row r="87">
          <cell r="I87">
            <v>533100.70799999998</v>
          </cell>
        </row>
        <row r="98">
          <cell r="I98">
            <v>157584</v>
          </cell>
        </row>
        <row r="105">
          <cell r="I105">
            <v>35000</v>
          </cell>
        </row>
        <row r="106">
          <cell r="I106">
            <v>7000</v>
          </cell>
        </row>
      </sheetData>
      <sheetData sheetId="5">
        <row r="9">
          <cell r="G9">
            <v>84000</v>
          </cell>
        </row>
      </sheetData>
      <sheetData sheetId="6">
        <row r="9">
          <cell r="J9">
            <v>18000</v>
          </cell>
        </row>
        <row r="24">
          <cell r="J24">
            <v>2500</v>
          </cell>
        </row>
      </sheetData>
      <sheetData sheetId="7">
        <row r="9">
          <cell r="K9">
            <v>45000</v>
          </cell>
        </row>
        <row r="15">
          <cell r="K15">
            <v>15000</v>
          </cell>
        </row>
        <row r="18">
          <cell r="K18"/>
        </row>
        <row r="20">
          <cell r="K20">
            <v>462000</v>
          </cell>
        </row>
        <row r="23">
          <cell r="G23">
            <v>10000</v>
          </cell>
        </row>
        <row r="25">
          <cell r="G25">
            <v>4000</v>
          </cell>
        </row>
      </sheetData>
      <sheetData sheetId="8">
        <row r="9">
          <cell r="G9">
            <v>2000</v>
          </cell>
        </row>
        <row r="14">
          <cell r="G14">
            <v>5000</v>
          </cell>
        </row>
        <row r="19">
          <cell r="G19">
            <v>15000</v>
          </cell>
        </row>
      </sheetData>
      <sheetData sheetId="9">
        <row r="7">
          <cell r="I7">
            <v>8400</v>
          </cell>
        </row>
        <row r="11">
          <cell r="I11">
            <v>3000</v>
          </cell>
        </row>
        <row r="16">
          <cell r="I16">
            <v>8400</v>
          </cell>
        </row>
      </sheetData>
      <sheetData sheetId="10">
        <row r="10">
          <cell r="I10">
            <v>36000</v>
          </cell>
        </row>
        <row r="16">
          <cell r="I16">
            <v>15000</v>
          </cell>
        </row>
        <row r="22">
          <cell r="I22">
            <v>116700</v>
          </cell>
        </row>
        <row r="27">
          <cell r="I27">
            <v>7200</v>
          </cell>
        </row>
        <row r="34">
          <cell r="I34">
            <v>1375000</v>
          </cell>
        </row>
      </sheetData>
      <sheetData sheetId="11">
        <row r="10">
          <cell r="I10">
            <v>42000</v>
          </cell>
        </row>
        <row r="16">
          <cell r="I16">
            <v>8000</v>
          </cell>
        </row>
        <row r="26">
          <cell r="I26">
            <v>20256</v>
          </cell>
        </row>
        <row r="33">
          <cell r="I33">
            <v>15000</v>
          </cell>
        </row>
        <row r="40">
          <cell r="I40">
            <v>1000</v>
          </cell>
        </row>
        <row r="46">
          <cell r="I46">
            <v>0</v>
          </cell>
        </row>
      </sheetData>
      <sheetData sheetId="12">
        <row r="7">
          <cell r="H7">
            <v>42000</v>
          </cell>
        </row>
        <row r="16">
          <cell r="H16">
            <v>60000</v>
          </cell>
        </row>
      </sheetData>
      <sheetData sheetId="13">
        <row r="9">
          <cell r="G9">
            <v>15000</v>
          </cell>
        </row>
      </sheetData>
      <sheetData sheetId="14">
        <row r="11">
          <cell r="H11">
            <v>90600</v>
          </cell>
        </row>
        <row r="16">
          <cell r="H16">
            <v>96000</v>
          </cell>
        </row>
        <row r="23">
          <cell r="H23">
            <v>8400</v>
          </cell>
        </row>
        <row r="30">
          <cell r="H30">
            <v>4000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1"/>
  <sheetViews>
    <sheetView tabSelected="1" workbookViewId="0">
      <selection activeCell="A3" sqref="A3"/>
    </sheetView>
  </sheetViews>
  <sheetFormatPr defaultRowHeight="13" x14ac:dyDescent="0.3"/>
  <cols>
    <col min="1" max="1" width="5.54296875" style="3" bestFit="1" customWidth="1"/>
    <col min="2" max="2" width="27.36328125" style="3" customWidth="1"/>
    <col min="3" max="3" width="35.453125" style="175" bestFit="1" customWidth="1"/>
    <col min="4" max="4" width="11.36328125" style="3" hidden="1" customWidth="1"/>
    <col min="5" max="5" width="12.36328125" style="175" hidden="1" customWidth="1"/>
    <col min="6" max="8" width="12.36328125" style="123" customWidth="1"/>
    <col min="9" max="9" width="12.36328125" style="179" hidden="1" customWidth="1"/>
    <col min="10" max="12" width="19" style="102" hidden="1" customWidth="1"/>
    <col min="13" max="13" width="19" style="103" bestFit="1" customWidth="1"/>
    <col min="14" max="14" width="15.453125" style="38" hidden="1" customWidth="1"/>
    <col min="15" max="15" width="2.453125" style="38" hidden="1" customWidth="1"/>
    <col min="16" max="16" width="60.54296875" style="3" hidden="1" customWidth="1"/>
    <col min="17" max="17" width="13.453125" hidden="1" customWidth="1"/>
  </cols>
  <sheetData>
    <row r="1" spans="1:17" ht="23.5" x14ac:dyDescent="0.55000000000000004">
      <c r="A1" s="206" t="s">
        <v>0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1"/>
      <c r="P1" s="1"/>
      <c r="Q1" s="2"/>
    </row>
    <row r="2" spans="1:17" ht="23.5" x14ac:dyDescent="0.55000000000000004">
      <c r="A2" s="206" t="s">
        <v>189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1"/>
      <c r="P2" s="1"/>
      <c r="Q2" s="2"/>
    </row>
    <row r="3" spans="1:17" ht="9" customHeight="1" x14ac:dyDescent="0.35">
      <c r="B3" s="1"/>
      <c r="C3" s="4"/>
      <c r="D3" s="1"/>
      <c r="E3" s="1"/>
      <c r="F3" s="5"/>
      <c r="G3" s="5"/>
      <c r="H3" s="6"/>
      <c r="I3" s="7"/>
      <c r="J3" s="8"/>
      <c r="K3" s="8"/>
      <c r="L3" s="8"/>
      <c r="M3" s="4"/>
      <c r="N3" s="9"/>
      <c r="O3" s="1"/>
      <c r="P3" s="10"/>
      <c r="Q3" s="2"/>
    </row>
    <row r="4" spans="1:17" ht="9.75" customHeight="1" x14ac:dyDescent="0.85">
      <c r="B4" s="11"/>
      <c r="C4" s="12"/>
      <c r="D4" s="11"/>
      <c r="E4" s="11"/>
      <c r="F4" s="13"/>
      <c r="G4" s="13"/>
      <c r="H4" s="6"/>
      <c r="I4" s="14"/>
      <c r="J4" s="15"/>
      <c r="K4" s="15"/>
      <c r="L4" s="15"/>
      <c r="M4" s="12"/>
      <c r="N4" s="16"/>
      <c r="O4" s="11"/>
      <c r="P4" s="17"/>
      <c r="Q4" s="18"/>
    </row>
    <row r="5" spans="1:17" ht="8.25" customHeight="1" thickBot="1" x14ac:dyDescent="0.9">
      <c r="B5" s="11"/>
      <c r="C5" s="12"/>
      <c r="D5" s="11"/>
      <c r="E5" s="11"/>
      <c r="F5" s="13"/>
      <c r="G5" s="13"/>
      <c r="H5" s="6"/>
      <c r="I5" s="14"/>
      <c r="J5" s="15"/>
      <c r="K5" s="15"/>
      <c r="L5" s="15"/>
      <c r="M5" s="12"/>
      <c r="N5" s="16"/>
      <c r="O5" s="11"/>
      <c r="P5" s="17"/>
      <c r="Q5" s="18"/>
    </row>
    <row r="6" spans="1:17" ht="28" thickBot="1" x14ac:dyDescent="0.5">
      <c r="A6" s="19" t="s">
        <v>1</v>
      </c>
      <c r="B6" s="20" t="s">
        <v>2</v>
      </c>
      <c r="C6" s="21" t="s">
        <v>2</v>
      </c>
      <c r="D6" s="22" t="s">
        <v>3</v>
      </c>
      <c r="E6" s="21" t="s">
        <v>4</v>
      </c>
      <c r="F6" s="23" t="s">
        <v>5</v>
      </c>
      <c r="G6" s="23" t="s">
        <v>6</v>
      </c>
      <c r="H6" s="23" t="s">
        <v>6</v>
      </c>
      <c r="I6" s="24"/>
      <c r="J6" s="207" t="s">
        <v>7</v>
      </c>
      <c r="K6" s="208"/>
      <c r="L6" s="208"/>
      <c r="M6" s="209"/>
      <c r="N6" s="25" t="s">
        <v>8</v>
      </c>
      <c r="O6" s="26"/>
      <c r="P6" s="27" t="s">
        <v>9</v>
      </c>
      <c r="Q6" s="28"/>
    </row>
    <row r="7" spans="1:17" ht="15" thickBot="1" x14ac:dyDescent="0.4">
      <c r="B7" s="29" t="s">
        <v>10</v>
      </c>
      <c r="C7" s="30"/>
      <c r="D7" s="31"/>
      <c r="E7" s="30"/>
      <c r="F7" s="32" t="s">
        <v>11</v>
      </c>
      <c r="G7" s="33" t="s">
        <v>12</v>
      </c>
      <c r="H7" s="33" t="s">
        <v>13</v>
      </c>
      <c r="I7" s="34"/>
      <c r="J7" s="35"/>
      <c r="K7" s="36"/>
      <c r="L7" s="36"/>
      <c r="M7" s="37"/>
      <c r="N7" s="38" t="s">
        <v>14</v>
      </c>
      <c r="O7" s="39"/>
      <c r="P7" s="40"/>
      <c r="Q7" s="41"/>
    </row>
    <row r="8" spans="1:17" ht="13.5" thickBot="1" x14ac:dyDescent="0.35">
      <c r="B8" s="42"/>
      <c r="C8" s="30"/>
      <c r="D8" s="31"/>
      <c r="E8" s="30"/>
      <c r="F8" s="33"/>
      <c r="G8" s="33"/>
      <c r="H8" s="33"/>
      <c r="I8" s="43"/>
      <c r="J8" s="44" t="s">
        <v>15</v>
      </c>
      <c r="K8" s="44" t="s">
        <v>16</v>
      </c>
      <c r="L8" s="44" t="s">
        <v>17</v>
      </c>
      <c r="M8" s="46"/>
      <c r="N8" s="47"/>
      <c r="O8" s="48"/>
      <c r="P8" s="40"/>
      <c r="Q8" s="41"/>
    </row>
    <row r="9" spans="1:17" ht="13.5" thickBot="1" x14ac:dyDescent="0.35">
      <c r="A9" s="19">
        <v>1</v>
      </c>
      <c r="B9" s="42" t="s">
        <v>18</v>
      </c>
      <c r="C9" s="30"/>
      <c r="D9" s="31"/>
      <c r="E9" s="30"/>
      <c r="F9" s="210" t="s">
        <v>19</v>
      </c>
      <c r="G9" s="211"/>
      <c r="H9" s="211"/>
      <c r="I9" s="43"/>
      <c r="J9" s="49" t="s">
        <v>20</v>
      </c>
      <c r="K9" s="49" t="s">
        <v>21</v>
      </c>
      <c r="L9" s="49" t="s">
        <v>22</v>
      </c>
      <c r="M9" s="49" t="s">
        <v>23</v>
      </c>
      <c r="N9" s="47"/>
      <c r="O9" s="48"/>
      <c r="P9" s="40"/>
      <c r="Q9" s="41"/>
    </row>
    <row r="10" spans="1:17" x14ac:dyDescent="0.3">
      <c r="A10" s="19">
        <v>2</v>
      </c>
      <c r="B10" s="50" t="s">
        <v>24</v>
      </c>
      <c r="C10" s="51" t="s">
        <v>25</v>
      </c>
      <c r="D10" s="52">
        <v>4951590</v>
      </c>
      <c r="E10" s="53">
        <v>5111955.97</v>
      </c>
      <c r="F10" s="54">
        <v>4012743</v>
      </c>
      <c r="G10" s="55">
        <v>3069799.12</v>
      </c>
      <c r="H10" s="56">
        <v>3410888</v>
      </c>
      <c r="I10" s="57"/>
      <c r="J10" s="58">
        <f>75*'[1]PP revenue fy18'!H4</f>
        <v>633591.00000000012</v>
      </c>
      <c r="K10" s="58">
        <f>50*'[1]PP revenue fy18'!H4</f>
        <v>422394.00000000006</v>
      </c>
      <c r="L10" s="58">
        <f>350*'[1]PP revenue fy18'!H4</f>
        <v>2956758.0000000005</v>
      </c>
      <c r="M10" s="59">
        <f>'[1]PP revenue fy18'!H12</f>
        <v>5068728.0000000009</v>
      </c>
      <c r="N10" s="60"/>
      <c r="O10" s="60"/>
      <c r="P10" s="40"/>
      <c r="Q10" s="61"/>
    </row>
    <row r="11" spans="1:17" x14ac:dyDescent="0.3">
      <c r="A11" s="19">
        <v>3</v>
      </c>
      <c r="B11" s="50" t="s">
        <v>26</v>
      </c>
      <c r="C11" s="51" t="s">
        <v>27</v>
      </c>
      <c r="D11" s="62">
        <v>1849855</v>
      </c>
      <c r="E11" s="63">
        <v>1702859.96</v>
      </c>
      <c r="F11" s="64">
        <v>1483900</v>
      </c>
      <c r="G11" s="55">
        <v>1112924.99</v>
      </c>
      <c r="H11" s="56">
        <v>1236583</v>
      </c>
      <c r="I11" s="65"/>
      <c r="J11" s="66">
        <f>75*'[1]PP revenue fy18'!G5</f>
        <v>235500</v>
      </c>
      <c r="K11" s="66">
        <f>50*'[1]PP revenue fy18'!G5</f>
        <v>157000</v>
      </c>
      <c r="L11" s="66">
        <f>350*'[1]PP revenue fy18'!G5</f>
        <v>1099000</v>
      </c>
      <c r="M11" s="67">
        <f>'[1]PP revenue fy18'!H22</f>
        <v>1884000</v>
      </c>
      <c r="N11" s="68"/>
      <c r="O11" s="69"/>
      <c r="P11" s="40"/>
      <c r="Q11" s="61"/>
    </row>
    <row r="12" spans="1:17" x14ac:dyDescent="0.3">
      <c r="A12" s="19">
        <v>4</v>
      </c>
      <c r="B12" s="50" t="s">
        <v>28</v>
      </c>
      <c r="C12" s="51" t="s">
        <v>29</v>
      </c>
      <c r="D12" s="62">
        <v>176875</v>
      </c>
      <c r="E12" s="63">
        <v>53417</v>
      </c>
      <c r="F12" s="71">
        <v>0</v>
      </c>
      <c r="G12" s="72">
        <v>0</v>
      </c>
      <c r="H12" s="73">
        <v>0</v>
      </c>
      <c r="I12" s="74"/>
      <c r="J12" s="75"/>
      <c r="K12" s="75"/>
      <c r="L12" s="75"/>
      <c r="M12" s="76">
        <f>'[1]PP revenue fy18'!G25</f>
        <v>0</v>
      </c>
      <c r="N12" s="77"/>
      <c r="O12" s="78"/>
      <c r="P12" s="40"/>
      <c r="Q12" s="61"/>
    </row>
    <row r="13" spans="1:17" x14ac:dyDescent="0.3">
      <c r="A13" s="19">
        <v>5</v>
      </c>
      <c r="B13" s="50" t="s">
        <v>30</v>
      </c>
      <c r="C13" s="51" t="s">
        <v>31</v>
      </c>
      <c r="D13" s="62"/>
      <c r="E13" s="63"/>
      <c r="F13" s="79">
        <v>0</v>
      </c>
      <c r="G13" s="80">
        <v>0</v>
      </c>
      <c r="H13" s="81">
        <v>0</v>
      </c>
      <c r="I13" s="82"/>
      <c r="J13" s="83"/>
      <c r="K13" s="83"/>
      <c r="L13" s="83"/>
      <c r="M13" s="84"/>
      <c r="N13" s="77"/>
      <c r="O13" s="78"/>
      <c r="P13" s="40"/>
      <c r="Q13" s="61"/>
    </row>
    <row r="14" spans="1:17" x14ac:dyDescent="0.3">
      <c r="A14" s="19">
        <v>6</v>
      </c>
      <c r="B14" s="42" t="s">
        <v>32</v>
      </c>
      <c r="C14" s="85" t="s">
        <v>33</v>
      </c>
      <c r="D14" s="86">
        <f>ROUND(SUBTOTAL(9, D7:D12), 5)</f>
        <v>6978320</v>
      </c>
      <c r="E14" s="87">
        <f>ROUND(SUBTOTAL(9, E7:E12), 5)</f>
        <v>6868232.9299999997</v>
      </c>
      <c r="F14" s="88">
        <f>SUM(F10:F13)</f>
        <v>5496643</v>
      </c>
      <c r="G14" s="89">
        <f>SUM(G10:G13)</f>
        <v>4182724.1100000003</v>
      </c>
      <c r="H14" s="90">
        <f>SUM(H10:H13)</f>
        <v>4647471</v>
      </c>
      <c r="I14" s="43"/>
      <c r="J14" s="91">
        <f>SUM(J10:J13)</f>
        <v>869091.00000000012</v>
      </c>
      <c r="K14" s="91">
        <f>SUM(K10:K13)</f>
        <v>579394</v>
      </c>
      <c r="L14" s="91">
        <f>SUM(L10:L13)</f>
        <v>4055758.0000000005</v>
      </c>
      <c r="M14" s="92">
        <f>SUM(M10:M12)</f>
        <v>6952728.0000000009</v>
      </c>
      <c r="N14" s="47" t="e">
        <f>(#REF!-F14)/F14</f>
        <v>#REF!</v>
      </c>
      <c r="O14" s="48"/>
      <c r="P14" s="93" t="e">
        <f>+M14-#REF!</f>
        <v>#REF!</v>
      </c>
      <c r="Q14" s="94"/>
    </row>
    <row r="15" spans="1:17" ht="10.5" customHeight="1" x14ac:dyDescent="0.3">
      <c r="A15" s="19">
        <v>7</v>
      </c>
      <c r="B15" s="95" t="s">
        <v>32</v>
      </c>
      <c r="C15" s="96"/>
      <c r="D15" s="40"/>
      <c r="E15" s="96"/>
      <c r="F15" s="97"/>
      <c r="G15" s="98"/>
      <c r="H15" s="99"/>
      <c r="I15" s="65"/>
      <c r="J15" s="66"/>
      <c r="K15" s="66"/>
      <c r="L15" s="66"/>
      <c r="M15" s="67"/>
      <c r="N15" s="68"/>
      <c r="O15" s="69"/>
      <c r="P15" s="40"/>
      <c r="Q15" s="61"/>
    </row>
    <row r="16" spans="1:17" x14ac:dyDescent="0.3">
      <c r="A16" s="19">
        <v>8</v>
      </c>
      <c r="B16" s="50" t="s">
        <v>34</v>
      </c>
      <c r="C16" s="51" t="s">
        <v>35</v>
      </c>
      <c r="D16" s="62">
        <v>88239</v>
      </c>
      <c r="E16" s="63">
        <v>10000</v>
      </c>
      <c r="F16" s="97">
        <v>25000</v>
      </c>
      <c r="G16" s="98">
        <v>727902</v>
      </c>
      <c r="H16" s="99">
        <v>749565</v>
      </c>
      <c r="I16" s="65"/>
      <c r="J16" s="66" t="e">
        <f>+#REF!</f>
        <v>#REF!</v>
      </c>
      <c r="K16" s="66"/>
      <c r="L16" s="66"/>
      <c r="M16" s="67">
        <v>25000</v>
      </c>
      <c r="N16" s="68"/>
      <c r="O16" s="69"/>
      <c r="P16" s="40"/>
      <c r="Q16" s="61"/>
    </row>
    <row r="17" spans="1:17" x14ac:dyDescent="0.3">
      <c r="A17" s="19">
        <v>9</v>
      </c>
      <c r="B17" s="50" t="s">
        <v>36</v>
      </c>
      <c r="C17" s="51" t="s">
        <v>37</v>
      </c>
      <c r="D17" s="62">
        <v>95000</v>
      </c>
      <c r="E17" s="63">
        <v>15850.9</v>
      </c>
      <c r="F17" s="97">
        <v>0</v>
      </c>
      <c r="G17" s="55">
        <v>47370.8</v>
      </c>
      <c r="H17" s="56">
        <v>47370.8</v>
      </c>
      <c r="I17" s="65"/>
      <c r="J17" s="66" t="e">
        <f>+#REF!</f>
        <v>#REF!</v>
      </c>
      <c r="K17" s="66"/>
      <c r="L17" s="66"/>
      <c r="M17" s="67"/>
      <c r="N17" s="68"/>
      <c r="O17" s="69"/>
      <c r="P17" s="40"/>
      <c r="Q17" s="61"/>
    </row>
    <row r="18" spans="1:17" x14ac:dyDescent="0.3">
      <c r="A18" s="19">
        <v>10</v>
      </c>
      <c r="B18" s="50" t="s">
        <v>38</v>
      </c>
      <c r="C18" s="100" t="s">
        <v>39</v>
      </c>
      <c r="D18" s="62"/>
      <c r="E18" s="63"/>
      <c r="F18" s="97"/>
      <c r="G18" s="55">
        <v>544.21</v>
      </c>
      <c r="H18" s="56">
        <v>896</v>
      </c>
      <c r="I18" s="101"/>
      <c r="J18" s="66" t="e">
        <f>+#REF!</f>
        <v>#REF!</v>
      </c>
      <c r="N18" s="68"/>
      <c r="O18" s="69"/>
      <c r="P18" s="40"/>
      <c r="Q18" s="61"/>
    </row>
    <row r="19" spans="1:17" x14ac:dyDescent="0.3">
      <c r="A19" s="19">
        <v>11</v>
      </c>
      <c r="B19" s="50" t="s">
        <v>40</v>
      </c>
      <c r="C19" s="51" t="s">
        <v>41</v>
      </c>
      <c r="D19" s="62">
        <v>271796</v>
      </c>
      <c r="E19" s="63">
        <v>190393.95</v>
      </c>
      <c r="F19" s="64">
        <v>17500</v>
      </c>
      <c r="G19" s="98">
        <v>0</v>
      </c>
      <c r="H19" s="99">
        <v>0</v>
      </c>
      <c r="I19" s="65"/>
      <c r="J19" s="66" t="e">
        <f>+#REF!</f>
        <v>#REF!</v>
      </c>
      <c r="K19" s="66"/>
      <c r="L19" s="66"/>
      <c r="M19" s="67">
        <v>50000</v>
      </c>
      <c r="N19" s="68"/>
      <c r="O19" s="69"/>
      <c r="P19" s="104"/>
      <c r="Q19" s="94"/>
    </row>
    <row r="20" spans="1:17" x14ac:dyDescent="0.3">
      <c r="A20" s="19"/>
      <c r="B20" s="50" t="s">
        <v>42</v>
      </c>
      <c r="C20" s="51" t="s">
        <v>43</v>
      </c>
      <c r="D20" s="62"/>
      <c r="E20" s="63"/>
      <c r="F20" s="64">
        <v>19126.52</v>
      </c>
      <c r="G20" s="98">
        <v>0</v>
      </c>
      <c r="H20" s="99">
        <v>0</v>
      </c>
      <c r="I20" s="65"/>
      <c r="J20" s="66" t="e">
        <f>+#REF!</f>
        <v>#REF!</v>
      </c>
      <c r="K20" s="66"/>
      <c r="L20" s="66"/>
      <c r="M20" s="67">
        <v>5500</v>
      </c>
      <c r="N20" s="68"/>
      <c r="O20" s="69"/>
      <c r="P20" s="104"/>
      <c r="Q20" s="94"/>
    </row>
    <row r="21" spans="1:17" ht="13.5" thickBot="1" x14ac:dyDescent="0.35">
      <c r="A21" s="19">
        <v>12</v>
      </c>
      <c r="B21" s="42" t="s">
        <v>32</v>
      </c>
      <c r="C21" s="85" t="s">
        <v>44</v>
      </c>
      <c r="D21" s="86" t="e">
        <f>-(ROUND(-D14+-#REF!+-#REF!+-#REF!+-#REF!- SUBTOTAL(9,#REF!), 5))</f>
        <v>#REF!</v>
      </c>
      <c r="E21" s="87" t="e">
        <f>-(ROUND(-E14+-#REF!+-#REF!+-#REF!+-#REF!- SUBTOTAL(9,#REF!), 5))</f>
        <v>#REF!</v>
      </c>
      <c r="F21" s="105">
        <f>+F14+F16+F17+F19+F20</f>
        <v>5558269.5199999996</v>
      </c>
      <c r="G21" s="106">
        <f>+G14+G16+G17+G18+G19</f>
        <v>4958541.12</v>
      </c>
      <c r="H21" s="107">
        <f>+H14+H16+H17+H18+H19</f>
        <v>5445302.7999999998</v>
      </c>
      <c r="I21" s="108"/>
      <c r="J21" s="109" t="e">
        <f>+J14+J16+J17+J19+J20</f>
        <v>#REF!</v>
      </c>
      <c r="K21" s="109">
        <f>+K14+K16+K17+K19+K20</f>
        <v>579394</v>
      </c>
      <c r="L21" s="109">
        <f>+L14+L16+L17+L19+L20</f>
        <v>4055758.0000000005</v>
      </c>
      <c r="M21" s="109">
        <f>+M14+M16+M17+M19+M20</f>
        <v>7033228.0000000009</v>
      </c>
      <c r="N21" s="47" t="e">
        <f>(#REF!-F21)/F21</f>
        <v>#REF!</v>
      </c>
      <c r="O21" s="110"/>
      <c r="P21" s="111"/>
      <c r="Q21" s="41"/>
    </row>
    <row r="22" spans="1:17" ht="13.5" thickTop="1" x14ac:dyDescent="0.3">
      <c r="A22" s="19">
        <v>13</v>
      </c>
      <c r="B22" s="112"/>
      <c r="C22" s="100"/>
      <c r="D22" s="113"/>
      <c r="E22" s="114"/>
      <c r="F22" s="115"/>
      <c r="G22" s="116"/>
      <c r="H22" s="117"/>
      <c r="I22" s="101"/>
      <c r="N22" s="68"/>
      <c r="O22" s="68"/>
    </row>
    <row r="23" spans="1:17" x14ac:dyDescent="0.3">
      <c r="A23" s="19">
        <v>14</v>
      </c>
      <c r="B23" s="95" t="s">
        <v>32</v>
      </c>
      <c r="C23" s="96"/>
      <c r="D23" s="40"/>
      <c r="E23" s="96"/>
      <c r="F23" s="97"/>
      <c r="G23" s="98"/>
      <c r="H23" s="99"/>
      <c r="I23" s="65"/>
      <c r="J23" s="66"/>
      <c r="K23" s="66"/>
      <c r="L23" s="66"/>
      <c r="M23" s="67"/>
      <c r="N23" s="68"/>
      <c r="O23" s="69"/>
      <c r="P23" s="40"/>
      <c r="Q23" s="61"/>
    </row>
    <row r="24" spans="1:17" ht="14.5" x14ac:dyDescent="0.35">
      <c r="A24" s="19">
        <v>15</v>
      </c>
      <c r="B24" s="29" t="s">
        <v>45</v>
      </c>
      <c r="C24" s="30"/>
      <c r="D24" s="31"/>
      <c r="E24" s="30"/>
      <c r="F24" s="118"/>
      <c r="G24" s="89"/>
      <c r="H24" s="90"/>
      <c r="I24" s="43"/>
      <c r="J24" s="91"/>
      <c r="K24" s="91"/>
      <c r="L24" s="91"/>
      <c r="M24" s="92"/>
      <c r="N24" s="47"/>
      <c r="O24" s="48"/>
      <c r="P24" s="40"/>
      <c r="Q24" s="41"/>
    </row>
    <row r="25" spans="1:17" x14ac:dyDescent="0.3">
      <c r="A25" s="19">
        <v>16</v>
      </c>
      <c r="B25" s="50" t="s">
        <v>46</v>
      </c>
      <c r="C25" s="96" t="s">
        <v>47</v>
      </c>
      <c r="D25" s="40"/>
      <c r="E25" s="96"/>
      <c r="F25" s="119">
        <v>14325.12</v>
      </c>
      <c r="G25" s="80">
        <v>0</v>
      </c>
      <c r="H25" s="81">
        <v>0</v>
      </c>
      <c r="I25" s="65"/>
      <c r="J25" s="83" t="e">
        <f>+#REF!</f>
        <v>#REF!</v>
      </c>
      <c r="K25" s="83"/>
      <c r="L25" s="83"/>
      <c r="M25" s="84">
        <v>0</v>
      </c>
      <c r="N25" s="68"/>
      <c r="O25" s="69"/>
      <c r="P25" s="40"/>
      <c r="Q25" s="61"/>
    </row>
    <row r="26" spans="1:17" x14ac:dyDescent="0.3">
      <c r="A26" s="19">
        <v>17</v>
      </c>
      <c r="B26" s="85" t="s">
        <v>48</v>
      </c>
      <c r="C26" s="96"/>
      <c r="D26" s="40"/>
      <c r="E26" s="96"/>
      <c r="F26" s="97">
        <f>SUM(F25)</f>
        <v>14325.12</v>
      </c>
      <c r="G26" s="98">
        <f>SUM(G25)</f>
        <v>0</v>
      </c>
      <c r="H26" s="99">
        <f>SUM(H25)</f>
        <v>0</v>
      </c>
      <c r="I26" s="65"/>
      <c r="J26" s="91" t="e">
        <f>SUM(J25)</f>
        <v>#REF!</v>
      </c>
      <c r="K26" s="66"/>
      <c r="L26" s="66"/>
      <c r="M26" s="92">
        <f>SUM(M25)</f>
        <v>0</v>
      </c>
      <c r="N26" s="68"/>
      <c r="O26" s="69"/>
      <c r="P26" s="40"/>
      <c r="Q26" s="61"/>
    </row>
    <row r="27" spans="1:17" x14ac:dyDescent="0.3">
      <c r="A27" s="19"/>
      <c r="B27" s="120"/>
      <c r="C27" s="121"/>
      <c r="D27" s="121"/>
      <c r="E27" s="121"/>
      <c r="F27" s="122"/>
      <c r="G27" s="122"/>
      <c r="I27" s="124"/>
      <c r="J27" s="125"/>
      <c r="K27" s="126"/>
      <c r="L27" s="126"/>
      <c r="M27" s="127"/>
      <c r="N27" s="68"/>
      <c r="O27" s="69"/>
      <c r="P27" s="40"/>
      <c r="Q27" s="61"/>
    </row>
    <row r="28" spans="1:17" ht="26" x14ac:dyDescent="0.3">
      <c r="A28" s="19">
        <v>18</v>
      </c>
      <c r="B28" s="95"/>
      <c r="C28" s="96"/>
      <c r="D28" s="40"/>
      <c r="E28" s="96"/>
      <c r="F28" s="23" t="s">
        <v>5</v>
      </c>
      <c r="G28" s="23" t="s">
        <v>6</v>
      </c>
      <c r="H28" s="23" t="s">
        <v>6</v>
      </c>
      <c r="I28" s="65"/>
      <c r="J28" s="66"/>
      <c r="K28" s="66"/>
      <c r="L28" s="66"/>
      <c r="M28" s="67"/>
      <c r="N28" s="68"/>
      <c r="O28" s="69"/>
      <c r="P28" s="40"/>
      <c r="Q28" s="61"/>
    </row>
    <row r="29" spans="1:17" ht="13.5" thickBot="1" x14ac:dyDescent="0.35">
      <c r="A29" s="19">
        <v>19</v>
      </c>
      <c r="B29" s="95"/>
      <c r="C29" s="96"/>
      <c r="D29" s="40"/>
      <c r="E29" s="96"/>
      <c r="F29" s="32" t="s">
        <v>11</v>
      </c>
      <c r="G29" s="33" t="s">
        <v>12</v>
      </c>
      <c r="H29" s="33" t="s">
        <v>13</v>
      </c>
      <c r="I29" s="65"/>
      <c r="J29" s="91"/>
      <c r="K29" s="91"/>
      <c r="L29" s="66"/>
      <c r="M29" s="67"/>
      <c r="N29" s="68"/>
      <c r="O29" s="69"/>
      <c r="P29" s="40"/>
      <c r="Q29" s="61"/>
    </row>
    <row r="30" spans="1:17" ht="13.5" thickBot="1" x14ac:dyDescent="0.35">
      <c r="A30" s="19">
        <v>20</v>
      </c>
      <c r="B30" s="42" t="s">
        <v>49</v>
      </c>
      <c r="C30" s="30"/>
      <c r="D30" s="31"/>
      <c r="E30" s="30"/>
      <c r="F30" s="33"/>
      <c r="G30" s="33"/>
      <c r="H30" s="33"/>
      <c r="I30" s="43"/>
      <c r="J30" s="44" t="s">
        <v>15</v>
      </c>
      <c r="K30" s="44" t="s">
        <v>16</v>
      </c>
      <c r="L30" s="44" t="s">
        <v>17</v>
      </c>
      <c r="M30" s="92"/>
      <c r="N30" s="47"/>
      <c r="O30" s="48"/>
      <c r="P30" s="40"/>
      <c r="Q30" s="41"/>
    </row>
    <row r="31" spans="1:17" x14ac:dyDescent="0.3">
      <c r="A31" s="19">
        <v>21</v>
      </c>
      <c r="B31" s="50" t="s">
        <v>50</v>
      </c>
      <c r="C31" s="51" t="s">
        <v>51</v>
      </c>
      <c r="D31" s="62">
        <v>200250</v>
      </c>
      <c r="E31" s="63">
        <v>132843.38</v>
      </c>
      <c r="F31" s="64">
        <v>223684</v>
      </c>
      <c r="G31" s="55">
        <v>137486.35</v>
      </c>
      <c r="H31" s="56">
        <v>153097</v>
      </c>
      <c r="I31" s="65"/>
      <c r="J31" s="66">
        <f>+'[1]comp &amp; ben fy18'!J6</f>
        <v>53045</v>
      </c>
      <c r="K31" s="66"/>
      <c r="L31" s="66">
        <f>+'[1]comp &amp; ben fy18'!J5</f>
        <v>150769</v>
      </c>
      <c r="M31" s="67">
        <f>+'[1]comp &amp; ben fy18'!J7</f>
        <v>203814</v>
      </c>
      <c r="N31" s="68"/>
      <c r="O31" s="69"/>
      <c r="P31" s="104" t="s">
        <v>52</v>
      </c>
      <c r="Q31" s="94"/>
    </row>
    <row r="32" spans="1:17" x14ac:dyDescent="0.3">
      <c r="A32" s="19">
        <v>22</v>
      </c>
      <c r="B32" s="50" t="s">
        <v>53</v>
      </c>
      <c r="C32" s="51" t="s">
        <v>54</v>
      </c>
      <c r="D32" s="62">
        <v>528995</v>
      </c>
      <c r="E32" s="63">
        <v>389322.91</v>
      </c>
      <c r="F32" s="64">
        <v>255194</v>
      </c>
      <c r="G32" s="55">
        <v>305877.37</v>
      </c>
      <c r="H32" s="56">
        <v>339560</v>
      </c>
      <c r="I32" s="65"/>
      <c r="J32" s="66"/>
      <c r="K32" s="66"/>
      <c r="L32" s="66">
        <f>+'[1]comp &amp; ben fy18'!J68</f>
        <v>0</v>
      </c>
      <c r="M32" s="67">
        <f>+'[1]comp &amp; ben fy18'!J43</f>
        <v>285108</v>
      </c>
      <c r="N32" s="68"/>
      <c r="O32" s="69"/>
      <c r="P32" s="40"/>
      <c r="Q32" s="61"/>
    </row>
    <row r="33" spans="1:17" x14ac:dyDescent="0.3">
      <c r="A33" s="19">
        <v>23</v>
      </c>
      <c r="B33" s="50" t="s">
        <v>55</v>
      </c>
      <c r="C33" s="51" t="s">
        <v>56</v>
      </c>
      <c r="D33" s="62">
        <v>0</v>
      </c>
      <c r="E33" s="63">
        <v>36234.19</v>
      </c>
      <c r="F33" s="64">
        <v>343687</v>
      </c>
      <c r="G33" s="55">
        <v>256112.49</v>
      </c>
      <c r="H33" s="56">
        <v>287086</v>
      </c>
      <c r="I33" s="65"/>
      <c r="J33" s="66"/>
      <c r="K33" s="66">
        <f>+'[1]comp &amp; ben fy18'!J29</f>
        <v>51500</v>
      </c>
      <c r="L33" s="66">
        <f>+'[1]comp &amp; ben fy18'!J30+'[1]comp &amp; ben fy18'!J31+'[1]comp &amp; ben fy18'!J32+'[1]comp &amp; ben fy18'!J34</f>
        <v>242959</v>
      </c>
      <c r="M33" s="67">
        <f>+'[1]comp &amp; ben fy18'!J36</f>
        <v>414898</v>
      </c>
      <c r="N33" s="68"/>
      <c r="O33" s="69"/>
      <c r="P33" s="96"/>
      <c r="Q33" s="61"/>
    </row>
    <row r="34" spans="1:17" x14ac:dyDescent="0.3">
      <c r="A34" s="19">
        <v>24</v>
      </c>
      <c r="B34" s="50" t="s">
        <v>57</v>
      </c>
      <c r="C34" s="51" t="s">
        <v>58</v>
      </c>
      <c r="D34" s="62">
        <v>0</v>
      </c>
      <c r="E34" s="63">
        <v>5867.62</v>
      </c>
      <c r="F34" s="64">
        <v>336460</v>
      </c>
      <c r="G34" s="55">
        <v>206081.51</v>
      </c>
      <c r="H34" s="56">
        <v>229289</v>
      </c>
      <c r="I34" s="65"/>
      <c r="J34" s="66"/>
      <c r="K34" s="66">
        <f>+'[1]comp &amp; ben fy18'!J45</f>
        <v>65400</v>
      </c>
      <c r="L34" s="66" t="e">
        <f>+'[1]comp &amp; ben fy18'!J47+'[1]comp &amp; ben fy18'!J48+'[1]comp &amp; ben fy18'!J46+'[1]comp &amp; ben fy18'!#REF!+'[1]comp &amp; ben fy18'!J49</f>
        <v>#REF!</v>
      </c>
      <c r="M34" s="67">
        <f>+'[1]comp &amp; ben fy18'!J50</f>
        <v>267050</v>
      </c>
      <c r="N34" s="68"/>
      <c r="O34" s="69"/>
      <c r="P34" s="96"/>
      <c r="Q34" s="61"/>
    </row>
    <row r="35" spans="1:17" x14ac:dyDescent="0.3">
      <c r="A35" s="19">
        <v>25</v>
      </c>
      <c r="B35" s="50" t="s">
        <v>59</v>
      </c>
      <c r="C35" s="51" t="s">
        <v>60</v>
      </c>
      <c r="D35" s="62"/>
      <c r="E35" s="63"/>
      <c r="F35" s="64">
        <v>398275</v>
      </c>
      <c r="G35" s="55">
        <v>237822.43</v>
      </c>
      <c r="H35" s="56">
        <v>266214</v>
      </c>
      <c r="I35" s="65"/>
      <c r="J35" s="66">
        <f>+'[1]comp &amp; ben fy18'!J55+'[1]comp &amp; ben fy18'!J57</f>
        <v>80340</v>
      </c>
      <c r="K35" s="66">
        <f>+'[1]comp &amp; ben fy18'!J52</f>
        <v>20600</v>
      </c>
      <c r="L35" s="66">
        <f>+'[1]comp &amp; ben fy18'!J53+'[1]comp &amp; ben fy18'!J54+'[1]comp &amp; ben fy18'!J58+'[1]comp &amp; ben fy18'!J59</f>
        <v>171588</v>
      </c>
      <c r="M35" s="67">
        <f>+'[1]comp &amp; ben fy18'!J62</f>
        <v>461679</v>
      </c>
      <c r="N35" s="68"/>
      <c r="O35" s="69"/>
      <c r="P35" s="96"/>
      <c r="Q35" s="61"/>
    </row>
    <row r="36" spans="1:17" x14ac:dyDescent="0.3">
      <c r="A36" s="19">
        <v>26</v>
      </c>
      <c r="B36" s="50" t="s">
        <v>61</v>
      </c>
      <c r="C36" s="51" t="s">
        <v>62</v>
      </c>
      <c r="D36" s="62">
        <v>342968</v>
      </c>
      <c r="E36" s="63">
        <v>188660.59</v>
      </c>
      <c r="F36" s="54">
        <v>289409</v>
      </c>
      <c r="G36" s="55">
        <v>197480.56</v>
      </c>
      <c r="H36" s="56">
        <v>219098</v>
      </c>
      <c r="I36" s="101"/>
      <c r="J36" s="102">
        <f>+'[1]comp &amp; ben fy18'!J10+'[1]comp &amp; ben fy18'!J11</f>
        <v>164819</v>
      </c>
      <c r="L36" s="102">
        <f>+'[1]comp &amp; ben fy18'!J9+'[1]comp &amp; ben fy18'!J12</f>
        <v>155397</v>
      </c>
      <c r="M36" s="103">
        <f>+'[1]comp &amp; ben fy18'!J13</f>
        <v>320216</v>
      </c>
      <c r="O36" s="69"/>
      <c r="P36" s="68"/>
      <c r="Q36" s="61"/>
    </row>
    <row r="37" spans="1:17" x14ac:dyDescent="0.3">
      <c r="A37" s="19">
        <v>27</v>
      </c>
      <c r="B37" s="50" t="s">
        <v>63</v>
      </c>
      <c r="C37" s="51" t="s">
        <v>64</v>
      </c>
      <c r="D37" s="62">
        <v>2133553</v>
      </c>
      <c r="E37" s="63">
        <v>962006.91</v>
      </c>
      <c r="F37" s="54">
        <v>291711</v>
      </c>
      <c r="G37" s="55">
        <v>119220.26</v>
      </c>
      <c r="H37" s="56">
        <v>131121</v>
      </c>
      <c r="I37" s="101"/>
      <c r="J37" s="102">
        <f>+'[1]comp &amp; ben fy18'!J15+'[1]comp &amp; ben fy18'!J18</f>
        <v>107522</v>
      </c>
      <c r="K37" s="102">
        <f>+'[1]comp &amp; ben fy18'!J17</f>
        <v>58381</v>
      </c>
      <c r="L37" s="102">
        <f>+'[1]comp &amp; ben fy18'!J19+'[1]comp &amp; ben fy18'!J16</f>
        <v>88260</v>
      </c>
      <c r="M37" s="103">
        <f>+'[1]comp &amp; ben fy18'!J20</f>
        <v>254163</v>
      </c>
      <c r="O37" s="69"/>
      <c r="P37" s="68"/>
      <c r="Q37" s="61"/>
    </row>
    <row r="38" spans="1:17" x14ac:dyDescent="0.3">
      <c r="A38" s="19">
        <v>28</v>
      </c>
      <c r="B38" s="50" t="s">
        <v>65</v>
      </c>
      <c r="C38" s="51" t="s">
        <v>66</v>
      </c>
      <c r="D38" s="62">
        <v>0</v>
      </c>
      <c r="E38" s="63">
        <v>66078.44</v>
      </c>
      <c r="F38" s="97">
        <v>0</v>
      </c>
      <c r="G38" s="98">
        <v>0</v>
      </c>
      <c r="H38" s="99">
        <v>0</v>
      </c>
      <c r="I38" s="65"/>
      <c r="J38" s="66"/>
      <c r="K38" s="66"/>
      <c r="L38" s="66"/>
      <c r="M38" s="67"/>
      <c r="O38" s="69"/>
      <c r="P38" s="68"/>
      <c r="Q38" s="61"/>
    </row>
    <row r="39" spans="1:17" x14ac:dyDescent="0.3">
      <c r="A39" s="19">
        <v>29</v>
      </c>
      <c r="B39" s="50" t="s">
        <v>67</v>
      </c>
      <c r="C39" s="51" t="s">
        <v>68</v>
      </c>
      <c r="D39" s="63"/>
      <c r="E39" s="63"/>
      <c r="F39" s="97">
        <v>0</v>
      </c>
      <c r="G39" s="98">
        <v>0</v>
      </c>
      <c r="H39" s="99">
        <v>0</v>
      </c>
      <c r="I39" s="65"/>
      <c r="J39" s="66"/>
      <c r="K39" s="66"/>
      <c r="L39" s="66"/>
      <c r="M39" s="67"/>
      <c r="O39" s="69"/>
      <c r="P39" s="68"/>
      <c r="Q39" s="61"/>
    </row>
    <row r="40" spans="1:17" x14ac:dyDescent="0.3">
      <c r="A40" s="19">
        <v>30</v>
      </c>
      <c r="B40" s="50" t="s">
        <v>69</v>
      </c>
      <c r="C40" s="51" t="s">
        <v>70</v>
      </c>
      <c r="D40" s="62"/>
      <c r="E40" s="63"/>
      <c r="F40" s="128">
        <v>52000</v>
      </c>
      <c r="G40" s="129">
        <v>30418</v>
      </c>
      <c r="H40" s="130">
        <v>33926</v>
      </c>
      <c r="I40" s="131"/>
      <c r="J40" s="132">
        <f>+'[1]comp &amp; ben fy18'!J22</f>
        <v>10000</v>
      </c>
      <c r="K40" s="132">
        <f>+'[1]comp &amp; ben fy18'!J23</f>
        <v>10000</v>
      </c>
      <c r="L40" s="132">
        <f>+'[1]comp &amp; ben fy18'!J24+'[1]comp &amp; ben fy18'!J25+'[1]comp &amp; ben fy18'!J26</f>
        <v>30000</v>
      </c>
      <c r="M40" s="133">
        <f>+'[1]comp &amp; ben fy18'!J27</f>
        <v>50000</v>
      </c>
      <c r="N40" s="134"/>
      <c r="O40" s="69"/>
      <c r="P40" s="68"/>
      <c r="Q40" s="61"/>
    </row>
    <row r="41" spans="1:17" s="70" customFormat="1" x14ac:dyDescent="0.3">
      <c r="A41" s="19">
        <v>31</v>
      </c>
      <c r="B41" s="85" t="s">
        <v>71</v>
      </c>
      <c r="D41" s="86"/>
      <c r="E41" s="87"/>
      <c r="F41" s="88">
        <f>SUM(F31:F40)</f>
        <v>2190420</v>
      </c>
      <c r="G41" s="135">
        <f>SUM(G31:G40)</f>
        <v>1490498.97</v>
      </c>
      <c r="H41" s="136">
        <f>SUM(H31:H40)</f>
        <v>1659391</v>
      </c>
      <c r="I41" s="43">
        <f>SUM(I31:I39)</f>
        <v>0</v>
      </c>
      <c r="J41" s="91">
        <f>SUM(J31:J40)</f>
        <v>415726</v>
      </c>
      <c r="K41" s="91">
        <f>SUM(K31:K40)</f>
        <v>205881</v>
      </c>
      <c r="L41" s="91" t="e">
        <f>SUM(L31:L40)</f>
        <v>#REF!</v>
      </c>
      <c r="M41" s="92">
        <f>SUM(M31:M40)</f>
        <v>2256928</v>
      </c>
      <c r="N41" s="47"/>
      <c r="O41" s="48"/>
      <c r="P41" s="31"/>
      <c r="Q41" s="137"/>
    </row>
    <row r="42" spans="1:17" x14ac:dyDescent="0.3">
      <c r="A42" s="19">
        <v>32</v>
      </c>
      <c r="B42" s="50"/>
      <c r="C42" s="51"/>
      <c r="D42" s="62"/>
      <c r="E42" s="63"/>
      <c r="F42" s="115"/>
      <c r="G42" s="116"/>
      <c r="H42" s="117"/>
      <c r="I42" s="65"/>
      <c r="J42" s="66"/>
      <c r="K42" s="66"/>
      <c r="L42" s="66"/>
      <c r="M42" s="67"/>
      <c r="N42" s="68"/>
      <c r="O42" s="69"/>
      <c r="P42" s="40"/>
      <c r="Q42" s="138"/>
    </row>
    <row r="43" spans="1:17" s="70" customFormat="1" x14ac:dyDescent="0.3">
      <c r="A43" s="19">
        <v>33</v>
      </c>
      <c r="B43" s="42" t="s">
        <v>72</v>
      </c>
      <c r="C43" s="85"/>
      <c r="D43" s="86">
        <v>0</v>
      </c>
      <c r="E43" s="87">
        <v>96643.91</v>
      </c>
      <c r="F43" s="139">
        <v>173259.13</v>
      </c>
      <c r="G43" s="55">
        <v>121928.35</v>
      </c>
      <c r="H43" s="56">
        <v>134725</v>
      </c>
      <c r="I43" s="43"/>
      <c r="J43" s="91" t="e">
        <f>+#REF!/38*6</f>
        <v>#REF!</v>
      </c>
      <c r="K43" s="91" t="e">
        <f>+#REF!/38*5</f>
        <v>#REF!</v>
      </c>
      <c r="L43" s="91" t="e">
        <f>+#REF!/38*27</f>
        <v>#REF!</v>
      </c>
      <c r="M43" s="92">
        <f>+'[1]comp &amp; ben fy18'!J74+'[1]comp &amp; ben fy18'!I98</f>
        <v>330238.99199999997</v>
      </c>
      <c r="N43" s="47"/>
      <c r="O43" s="48"/>
      <c r="P43" s="31"/>
      <c r="Q43" s="137"/>
    </row>
    <row r="44" spans="1:17" s="70" customFormat="1" x14ac:dyDescent="0.3">
      <c r="A44" s="19">
        <v>34</v>
      </c>
      <c r="B44" s="42" t="s">
        <v>73</v>
      </c>
      <c r="C44" s="85"/>
      <c r="D44" s="86">
        <v>0</v>
      </c>
      <c r="E44" s="87">
        <v>27776.57</v>
      </c>
      <c r="F44" s="140"/>
      <c r="G44" s="116"/>
      <c r="H44" s="117"/>
      <c r="I44" s="43"/>
      <c r="J44" s="91"/>
      <c r="K44" s="91"/>
      <c r="L44" s="91"/>
      <c r="M44" s="141"/>
      <c r="N44" s="47"/>
      <c r="O44" s="48"/>
      <c r="P44" s="31"/>
      <c r="Q44" s="137"/>
    </row>
    <row r="45" spans="1:17" s="70" customFormat="1" x14ac:dyDescent="0.3">
      <c r="A45" s="19">
        <v>35</v>
      </c>
      <c r="B45" s="50" t="s">
        <v>74</v>
      </c>
      <c r="C45" s="51" t="s">
        <v>75</v>
      </c>
      <c r="D45" s="86"/>
      <c r="E45" s="87"/>
      <c r="F45" s="64">
        <v>190000</v>
      </c>
      <c r="G45" s="55">
        <v>222141.17</v>
      </c>
      <c r="H45" s="56">
        <v>252062</v>
      </c>
      <c r="I45" s="43"/>
      <c r="J45" s="66" t="e">
        <f>+#REF!/38*6</f>
        <v>#REF!</v>
      </c>
      <c r="K45" s="66" t="e">
        <f>+#REF!/38*5</f>
        <v>#REF!</v>
      </c>
      <c r="L45" s="66" t="e">
        <f>+#REF!/38*27</f>
        <v>#REF!</v>
      </c>
      <c r="M45" s="67">
        <f>+'[1]comp &amp; ben fy18'!I87</f>
        <v>533100.70799999998</v>
      </c>
      <c r="N45" s="47"/>
      <c r="O45" s="48"/>
      <c r="P45" s="31"/>
      <c r="Q45" s="137"/>
    </row>
    <row r="46" spans="1:17" s="70" customFormat="1" x14ac:dyDescent="0.3">
      <c r="A46" s="19">
        <v>36</v>
      </c>
      <c r="B46" s="50" t="s">
        <v>76</v>
      </c>
      <c r="C46" s="51" t="s">
        <v>77</v>
      </c>
      <c r="D46" s="86"/>
      <c r="E46" s="87"/>
      <c r="F46" s="97">
        <v>0</v>
      </c>
      <c r="G46" s="55">
        <v>29189.7</v>
      </c>
      <c r="H46" s="56">
        <v>29390</v>
      </c>
      <c r="I46" s="43"/>
      <c r="J46" s="91"/>
      <c r="K46" s="91"/>
      <c r="L46" s="91"/>
      <c r="M46" s="67">
        <f>+'[1]comp &amp; ben fy18'!I105</f>
        <v>35000</v>
      </c>
      <c r="N46" s="47"/>
      <c r="O46" s="48"/>
      <c r="P46" s="31"/>
      <c r="Q46" s="137"/>
    </row>
    <row r="47" spans="1:17" s="70" customFormat="1" x14ac:dyDescent="0.3">
      <c r="A47" s="19">
        <v>37</v>
      </c>
      <c r="B47" s="50" t="s">
        <v>78</v>
      </c>
      <c r="C47" s="51" t="s">
        <v>79</v>
      </c>
      <c r="D47" s="86"/>
      <c r="E47" s="87"/>
      <c r="F47" s="97">
        <v>0</v>
      </c>
      <c r="G47" s="55">
        <v>2291.7800000000002</v>
      </c>
      <c r="H47" s="56">
        <v>2701</v>
      </c>
      <c r="I47" s="43"/>
      <c r="J47" s="91"/>
      <c r="K47" s="91"/>
      <c r="L47" s="91"/>
      <c r="M47" s="67">
        <f>+'[1]comp &amp; ben fy18'!I106</f>
        <v>7000</v>
      </c>
      <c r="N47" s="47"/>
      <c r="O47" s="48"/>
      <c r="P47" s="31"/>
      <c r="Q47" s="137"/>
    </row>
    <row r="48" spans="1:17" s="70" customFormat="1" x14ac:dyDescent="0.3">
      <c r="A48" s="19">
        <v>38</v>
      </c>
      <c r="B48" s="50" t="s">
        <v>80</v>
      </c>
      <c r="C48" s="51" t="s">
        <v>81</v>
      </c>
      <c r="D48" s="86">
        <v>0</v>
      </c>
      <c r="E48" s="87">
        <v>27776.57</v>
      </c>
      <c r="F48" s="119">
        <v>21904.2</v>
      </c>
      <c r="G48" s="142">
        <v>12092.07</v>
      </c>
      <c r="H48" s="143">
        <v>14252</v>
      </c>
      <c r="I48" s="144"/>
      <c r="J48" s="145"/>
      <c r="K48" s="145"/>
      <c r="L48" s="145"/>
      <c r="M48" s="84">
        <f>+'[1]debt and banking fy18'!J9</f>
        <v>18000</v>
      </c>
      <c r="N48" s="47"/>
      <c r="O48" s="48"/>
      <c r="P48" s="31"/>
      <c r="Q48" s="137"/>
    </row>
    <row r="49" spans="1:17" s="70" customFormat="1" x14ac:dyDescent="0.3">
      <c r="A49" s="19">
        <v>39</v>
      </c>
      <c r="B49" s="85" t="s">
        <v>82</v>
      </c>
      <c r="C49" s="51"/>
      <c r="D49" s="86"/>
      <c r="E49" s="87"/>
      <c r="F49" s="88">
        <f>SUM(F45:F48)</f>
        <v>211904.2</v>
      </c>
      <c r="G49" s="135">
        <f>SUM(G45:G48)</f>
        <v>265714.72000000003</v>
      </c>
      <c r="H49" s="136">
        <f>SUM(H45:H48)</f>
        <v>298405</v>
      </c>
      <c r="I49" s="43"/>
      <c r="J49" s="91" t="e">
        <f>SUM(J45:J48)</f>
        <v>#REF!</v>
      </c>
      <c r="K49" s="91" t="e">
        <f>SUM(K45:K48)</f>
        <v>#REF!</v>
      </c>
      <c r="L49" s="91" t="e">
        <f>SUM(L45:L48)</f>
        <v>#REF!</v>
      </c>
      <c r="M49" s="92">
        <f>SUM(M45:M48)</f>
        <v>593100.70799999998</v>
      </c>
      <c r="N49" s="47"/>
      <c r="O49" s="48"/>
      <c r="P49" s="31"/>
      <c r="Q49" s="137"/>
    </row>
    <row r="50" spans="1:17" x14ac:dyDescent="0.3">
      <c r="A50" s="19">
        <v>40</v>
      </c>
      <c r="B50" s="42"/>
      <c r="C50" s="85"/>
      <c r="D50" s="63"/>
      <c r="E50" s="63"/>
      <c r="F50" s="97"/>
      <c r="G50" s="98"/>
      <c r="H50" s="99"/>
      <c r="I50" s="67"/>
      <c r="J50" s="66"/>
      <c r="K50" s="66"/>
      <c r="L50" s="66"/>
      <c r="M50" s="67"/>
      <c r="N50" s="68"/>
      <c r="O50" s="69"/>
      <c r="P50" s="40"/>
      <c r="Q50" s="138"/>
    </row>
    <row r="51" spans="1:17" x14ac:dyDescent="0.3">
      <c r="A51" s="19">
        <v>41</v>
      </c>
      <c r="B51" s="42" t="s">
        <v>83</v>
      </c>
      <c r="C51" s="85"/>
      <c r="D51" s="62">
        <v>0</v>
      </c>
      <c r="E51" s="63">
        <v>5692.15</v>
      </c>
      <c r="F51" s="97"/>
      <c r="G51" s="98"/>
      <c r="H51" s="99"/>
      <c r="I51" s="65"/>
      <c r="J51" s="66"/>
      <c r="K51" s="66"/>
      <c r="L51" s="66"/>
      <c r="M51" s="67"/>
      <c r="N51" s="68"/>
      <c r="O51" s="69"/>
      <c r="P51" s="40"/>
      <c r="Q51" s="138"/>
    </row>
    <row r="52" spans="1:17" x14ac:dyDescent="0.3">
      <c r="A52" s="19">
        <v>42</v>
      </c>
      <c r="B52" s="50" t="s">
        <v>84</v>
      </c>
      <c r="C52" s="51" t="s">
        <v>85</v>
      </c>
      <c r="D52" s="62">
        <v>0</v>
      </c>
      <c r="E52" s="63">
        <v>8366.5</v>
      </c>
      <c r="F52" s="115"/>
      <c r="G52" s="116" t="s">
        <v>52</v>
      </c>
      <c r="H52" s="117" t="s">
        <v>52</v>
      </c>
      <c r="I52" s="101"/>
      <c r="K52" s="66"/>
      <c r="L52" s="66"/>
      <c r="M52" s="67"/>
      <c r="N52" s="68"/>
      <c r="O52" s="69"/>
      <c r="P52" s="146" t="e">
        <f>#REF!/#REF!</f>
        <v>#REF!</v>
      </c>
      <c r="Q52" s="138">
        <v>2007</v>
      </c>
    </row>
    <row r="53" spans="1:17" ht="13.5" thickBot="1" x14ac:dyDescent="0.35">
      <c r="A53" s="19">
        <v>43</v>
      </c>
      <c r="B53" s="50" t="s">
        <v>86</v>
      </c>
      <c r="C53" s="51" t="s">
        <v>87</v>
      </c>
      <c r="D53" s="62">
        <v>375326</v>
      </c>
      <c r="E53" s="63">
        <v>166843.35999999999</v>
      </c>
      <c r="F53" s="128">
        <v>42000</v>
      </c>
      <c r="G53" s="147">
        <v>36730.85</v>
      </c>
      <c r="H53" s="148">
        <v>38081</v>
      </c>
      <c r="I53" s="131"/>
      <c r="J53" s="83" t="e">
        <f>+#REF!/38*6</f>
        <v>#REF!</v>
      </c>
      <c r="K53" s="83" t="e">
        <f>+#REF!/38*5</f>
        <v>#REF!</v>
      </c>
      <c r="L53" s="83" t="e">
        <f>+#REF!/38*27</f>
        <v>#REF!</v>
      </c>
      <c r="M53" s="84">
        <f>+[1]OtherPersonnel!H7</f>
        <v>42000</v>
      </c>
      <c r="N53" s="68"/>
      <c r="O53" s="69"/>
      <c r="P53" s="149" t="e">
        <f>#REF!/#REF!</f>
        <v>#REF!</v>
      </c>
      <c r="Q53" s="138">
        <v>2009</v>
      </c>
    </row>
    <row r="54" spans="1:17" s="70" customFormat="1" x14ac:dyDescent="0.3">
      <c r="A54" s="19">
        <v>44</v>
      </c>
      <c r="B54" s="85" t="s">
        <v>88</v>
      </c>
      <c r="C54" s="85"/>
      <c r="D54" s="86"/>
      <c r="E54" s="87"/>
      <c r="F54" s="88">
        <f>SUM(F52:F53)</f>
        <v>42000</v>
      </c>
      <c r="G54" s="135">
        <f>SUM(G52:G53)</f>
        <v>36730.85</v>
      </c>
      <c r="H54" s="136">
        <f>SUM(H52:H53)</f>
        <v>38081</v>
      </c>
      <c r="I54" s="101"/>
      <c r="J54" s="150" t="e">
        <f>SUM(J53)</f>
        <v>#REF!</v>
      </c>
      <c r="K54" s="150" t="e">
        <f>SUM(K53)</f>
        <v>#REF!</v>
      </c>
      <c r="L54" s="150" t="e">
        <f>SUM(L53)</f>
        <v>#REF!</v>
      </c>
      <c r="M54" s="92">
        <f>SUM(M52:M53)</f>
        <v>42000</v>
      </c>
      <c r="N54" s="47"/>
      <c r="O54" s="48"/>
      <c r="P54" s="151"/>
      <c r="Q54" s="152"/>
    </row>
    <row r="55" spans="1:17" x14ac:dyDescent="0.3">
      <c r="A55" s="19">
        <v>45</v>
      </c>
      <c r="B55" s="50"/>
      <c r="C55" s="51"/>
      <c r="D55" s="62"/>
      <c r="E55" s="63"/>
      <c r="F55" s="115"/>
      <c r="G55" s="116"/>
      <c r="H55" s="117"/>
      <c r="I55" s="101"/>
      <c r="K55" s="66"/>
      <c r="L55" s="66"/>
      <c r="M55" s="67"/>
      <c r="N55" s="68"/>
      <c r="O55" s="69"/>
      <c r="P55" s="96"/>
      <c r="Q55" s="138"/>
    </row>
    <row r="56" spans="1:17" s="70" customFormat="1" x14ac:dyDescent="0.3">
      <c r="A56" s="19">
        <v>46</v>
      </c>
      <c r="B56" s="42" t="s">
        <v>89</v>
      </c>
      <c r="C56" s="85" t="s">
        <v>52</v>
      </c>
      <c r="D56" s="86">
        <v>0</v>
      </c>
      <c r="E56" s="87">
        <v>5114.84</v>
      </c>
      <c r="F56" s="88">
        <v>53000</v>
      </c>
      <c r="G56" s="55">
        <v>107416.62</v>
      </c>
      <c r="H56" s="56">
        <v>65883</v>
      </c>
      <c r="I56" s="101"/>
      <c r="J56" s="150" t="e">
        <f>+#REF!/4*1</f>
        <v>#REF!</v>
      </c>
      <c r="K56" s="150" t="e">
        <f>+#REF!/4*1</f>
        <v>#REF!</v>
      </c>
      <c r="L56" s="150" t="e">
        <f>+#REF!/4*2</f>
        <v>#REF!</v>
      </c>
      <c r="M56" s="92">
        <f>+[1]OtherPersonnel!H16</f>
        <v>60000</v>
      </c>
      <c r="N56" s="47"/>
      <c r="O56" s="48"/>
      <c r="P56" s="30"/>
      <c r="Q56" s="137"/>
    </row>
    <row r="57" spans="1:17" x14ac:dyDescent="0.3">
      <c r="A57" s="19">
        <v>47</v>
      </c>
      <c r="B57" s="51"/>
      <c r="C57" s="51"/>
      <c r="D57" s="63"/>
      <c r="E57" s="63"/>
      <c r="F57" s="115"/>
      <c r="G57" s="116"/>
      <c r="H57" s="117"/>
      <c r="I57" s="103"/>
      <c r="K57" s="66"/>
      <c r="L57" s="66"/>
      <c r="M57" s="67"/>
      <c r="N57" s="68"/>
      <c r="O57" s="69"/>
      <c r="P57" s="96"/>
      <c r="Q57" s="138"/>
    </row>
    <row r="58" spans="1:17" x14ac:dyDescent="0.3">
      <c r="A58" s="19">
        <v>48</v>
      </c>
      <c r="B58" s="42" t="s">
        <v>90</v>
      </c>
      <c r="C58" s="51" t="s">
        <v>52</v>
      </c>
      <c r="D58" s="62">
        <v>0</v>
      </c>
      <c r="E58" s="63">
        <v>3591.29</v>
      </c>
      <c r="F58" s="97"/>
      <c r="G58" s="98"/>
      <c r="H58" s="99"/>
      <c r="I58" s="65"/>
      <c r="J58" s="66"/>
      <c r="K58" s="66"/>
      <c r="L58" s="66"/>
      <c r="M58" s="67"/>
      <c r="N58" s="68"/>
      <c r="O58" s="69"/>
      <c r="P58" s="96"/>
      <c r="Q58" s="138"/>
    </row>
    <row r="59" spans="1:17" x14ac:dyDescent="0.3">
      <c r="A59" s="19">
        <v>49</v>
      </c>
      <c r="B59" s="50" t="s">
        <v>91</v>
      </c>
      <c r="C59" s="51" t="s">
        <v>92</v>
      </c>
      <c r="D59" s="62">
        <v>0</v>
      </c>
      <c r="E59" s="63">
        <v>36745.24</v>
      </c>
      <c r="F59" s="97">
        <v>0</v>
      </c>
      <c r="G59" s="98" t="s">
        <v>52</v>
      </c>
      <c r="H59" s="99" t="s">
        <v>52</v>
      </c>
      <c r="I59" s="65"/>
      <c r="J59" s="66"/>
      <c r="K59" s="66"/>
      <c r="L59" s="66"/>
      <c r="M59" s="67"/>
      <c r="N59" s="68"/>
      <c r="O59" s="69"/>
      <c r="P59" s="96"/>
      <c r="Q59" s="138"/>
    </row>
    <row r="60" spans="1:17" x14ac:dyDescent="0.3">
      <c r="A60" s="19">
        <v>50</v>
      </c>
      <c r="B60" s="50" t="s">
        <v>93</v>
      </c>
      <c r="C60" s="51" t="s">
        <v>94</v>
      </c>
      <c r="D60" s="62">
        <v>0</v>
      </c>
      <c r="E60" s="63">
        <v>36745.24</v>
      </c>
      <c r="F60" s="64">
        <v>793000</v>
      </c>
      <c r="G60" s="55">
        <v>671899.69</v>
      </c>
      <c r="H60" s="56">
        <v>743633</v>
      </c>
      <c r="I60" s="65"/>
      <c r="J60" s="66"/>
      <c r="K60" s="66"/>
      <c r="L60" s="66"/>
      <c r="M60" s="67">
        <f>+[1]Capital!K7+[1]Capital!K10</f>
        <v>610000</v>
      </c>
      <c r="N60" s="68"/>
      <c r="O60" s="69"/>
      <c r="P60" s="96"/>
      <c r="Q60" s="138"/>
    </row>
    <row r="61" spans="1:17" x14ac:dyDescent="0.3">
      <c r="A61" s="19">
        <v>51</v>
      </c>
      <c r="B61" s="50" t="s">
        <v>95</v>
      </c>
      <c r="C61" s="51" t="s">
        <v>96</v>
      </c>
      <c r="D61" s="62">
        <v>0</v>
      </c>
      <c r="E61" s="63">
        <v>7530.06</v>
      </c>
      <c r="F61" s="64">
        <v>0</v>
      </c>
      <c r="G61" s="55">
        <v>4028.36</v>
      </c>
      <c r="H61" s="56">
        <v>4028</v>
      </c>
      <c r="I61" s="65"/>
      <c r="J61" s="66"/>
      <c r="K61" s="66"/>
      <c r="L61" s="66"/>
      <c r="M61" s="67">
        <f>+'[1]Direct Student'!G25</f>
        <v>4000</v>
      </c>
      <c r="N61" s="68"/>
      <c r="O61" s="69"/>
      <c r="P61" s="96"/>
      <c r="Q61" s="138"/>
    </row>
    <row r="62" spans="1:17" x14ac:dyDescent="0.3">
      <c r="A62" s="19">
        <v>52</v>
      </c>
      <c r="B62" s="50" t="s">
        <v>97</v>
      </c>
      <c r="C62" s="51" t="s">
        <v>98</v>
      </c>
      <c r="D62" s="62">
        <v>0</v>
      </c>
      <c r="E62" s="63">
        <v>11067.92</v>
      </c>
      <c r="F62" s="64">
        <v>37500</v>
      </c>
      <c r="G62" s="55">
        <v>46282.06</v>
      </c>
      <c r="H62" s="56">
        <v>46282.06</v>
      </c>
      <c r="I62" s="65"/>
      <c r="J62" s="66"/>
      <c r="K62" s="66"/>
      <c r="L62" s="66"/>
      <c r="M62" s="67">
        <f>+'[1]Direct Student'!K9</f>
        <v>45000</v>
      </c>
      <c r="N62" s="68"/>
      <c r="O62" s="69"/>
      <c r="P62" s="153" t="e">
        <f>#REF!/#REF!</f>
        <v>#REF!</v>
      </c>
      <c r="Q62" s="138">
        <v>2007</v>
      </c>
    </row>
    <row r="63" spans="1:17" x14ac:dyDescent="0.3">
      <c r="A63" s="19">
        <v>53</v>
      </c>
      <c r="B63" s="50" t="s">
        <v>99</v>
      </c>
      <c r="C63" s="51" t="s">
        <v>100</v>
      </c>
      <c r="D63" s="62">
        <v>689317</v>
      </c>
      <c r="E63" s="63">
        <v>230080.24</v>
      </c>
      <c r="F63" s="54">
        <v>175000</v>
      </c>
      <c r="G63" s="55">
        <v>327866</v>
      </c>
      <c r="H63" s="56">
        <v>427866</v>
      </c>
      <c r="I63" s="65"/>
      <c r="J63" s="66"/>
      <c r="K63" s="66"/>
      <c r="L63" s="66"/>
      <c r="M63" s="103">
        <f>+'[1]Direct Student'!K20</f>
        <v>462000</v>
      </c>
      <c r="N63" s="68"/>
      <c r="O63" s="69"/>
      <c r="P63" s="154" t="e">
        <f>#REF!/#REF!</f>
        <v>#REF!</v>
      </c>
      <c r="Q63" s="138">
        <v>2009</v>
      </c>
    </row>
    <row r="64" spans="1:17" x14ac:dyDescent="0.3">
      <c r="A64" s="19">
        <v>54</v>
      </c>
      <c r="B64" s="50" t="s">
        <v>101</v>
      </c>
      <c r="C64" s="51" t="s">
        <v>102</v>
      </c>
      <c r="D64" s="62">
        <v>0</v>
      </c>
      <c r="E64" s="63">
        <v>15330.07</v>
      </c>
      <c r="F64" s="64">
        <v>0</v>
      </c>
      <c r="G64" s="55">
        <v>8053.02</v>
      </c>
      <c r="H64" s="56">
        <v>9813</v>
      </c>
      <c r="I64" s="74"/>
      <c r="J64" s="75"/>
      <c r="K64" s="75"/>
      <c r="L64" s="75"/>
      <c r="M64" s="76">
        <f>+'[1]Direct Student'!G23</f>
        <v>10000</v>
      </c>
      <c r="N64" s="68"/>
      <c r="O64" s="69"/>
      <c r="P64" s="40"/>
      <c r="Q64" s="138"/>
    </row>
    <row r="65" spans="1:17" x14ac:dyDescent="0.3">
      <c r="A65" s="19">
        <v>55</v>
      </c>
      <c r="B65" s="50" t="s">
        <v>103</v>
      </c>
      <c r="C65" s="51" t="s">
        <v>104</v>
      </c>
      <c r="D65" s="62">
        <v>0</v>
      </c>
      <c r="E65" s="63">
        <v>1279.43</v>
      </c>
      <c r="F65" s="64">
        <v>20000</v>
      </c>
      <c r="G65" s="55">
        <v>376.85</v>
      </c>
      <c r="H65" s="56">
        <v>376.85</v>
      </c>
      <c r="I65" s="74"/>
      <c r="J65" s="75"/>
      <c r="K65" s="75"/>
      <c r="L65" s="75"/>
      <c r="M65" s="76">
        <f>+[1]Capital!K53</f>
        <v>5000</v>
      </c>
      <c r="N65" s="68"/>
      <c r="O65" s="69"/>
      <c r="P65" s="40"/>
      <c r="Q65" s="61"/>
    </row>
    <row r="66" spans="1:17" x14ac:dyDescent="0.3">
      <c r="A66" s="19">
        <v>56</v>
      </c>
      <c r="B66" s="50" t="s">
        <v>105</v>
      </c>
      <c r="C66" s="51" t="s">
        <v>106</v>
      </c>
      <c r="D66" s="62"/>
      <c r="E66" s="63"/>
      <c r="F66" s="64">
        <v>27500</v>
      </c>
      <c r="G66" s="55">
        <v>17403.13</v>
      </c>
      <c r="H66" s="56">
        <v>18194</v>
      </c>
      <c r="I66" s="74"/>
      <c r="J66" s="75"/>
      <c r="K66" s="75"/>
      <c r="L66" s="75"/>
      <c r="M66" s="76">
        <f>+'[1]Direct Student'!K15</f>
        <v>15000</v>
      </c>
      <c r="N66" s="68"/>
      <c r="O66" s="69"/>
      <c r="P66" s="40"/>
      <c r="Q66" s="61"/>
    </row>
    <row r="67" spans="1:17" x14ac:dyDescent="0.3">
      <c r="A67" s="19">
        <v>57</v>
      </c>
      <c r="B67" s="50" t="s">
        <v>107</v>
      </c>
      <c r="C67" s="51" t="s">
        <v>108</v>
      </c>
      <c r="D67" s="62"/>
      <c r="E67" s="63"/>
      <c r="F67" s="119">
        <v>0</v>
      </c>
      <c r="G67" s="80">
        <v>0</v>
      </c>
      <c r="H67" s="81">
        <v>0</v>
      </c>
      <c r="I67" s="82"/>
      <c r="J67" s="83"/>
      <c r="K67" s="83"/>
      <c r="L67" s="83"/>
      <c r="M67" s="84">
        <f>+'[1]Direct Student'!K18</f>
        <v>0</v>
      </c>
      <c r="N67" s="68"/>
      <c r="O67" s="69"/>
      <c r="P67" s="40"/>
      <c r="Q67" s="61"/>
    </row>
    <row r="68" spans="1:17" s="70" customFormat="1" x14ac:dyDescent="0.3">
      <c r="A68" s="19">
        <v>58</v>
      </c>
      <c r="B68" s="42" t="s">
        <v>109</v>
      </c>
      <c r="C68" s="85"/>
      <c r="D68" s="87"/>
      <c r="E68" s="87"/>
      <c r="F68" s="88">
        <f>SUM(F59:F66)</f>
        <v>1053000</v>
      </c>
      <c r="G68" s="135">
        <f>SUM(G59:G67)</f>
        <v>1075909.1099999999</v>
      </c>
      <c r="H68" s="136">
        <f>SUM(H59:H67)</f>
        <v>1250192.9100000001</v>
      </c>
      <c r="I68" s="92">
        <f>SUM(I59:I65)</f>
        <v>0</v>
      </c>
      <c r="J68" s="91"/>
      <c r="K68" s="91"/>
      <c r="L68" s="91"/>
      <c r="M68" s="92">
        <f>SUM(M59:M67)</f>
        <v>1151000</v>
      </c>
      <c r="N68" s="47"/>
      <c r="O68" s="48"/>
      <c r="P68" s="31"/>
      <c r="Q68" s="41"/>
    </row>
    <row r="69" spans="1:17" x14ac:dyDescent="0.3">
      <c r="A69" s="19">
        <v>59</v>
      </c>
      <c r="B69" s="51"/>
      <c r="C69" s="51"/>
      <c r="D69" s="63"/>
      <c r="E69" s="63"/>
      <c r="F69" s="97"/>
      <c r="G69" s="98"/>
      <c r="H69" s="99"/>
      <c r="I69" s="67"/>
      <c r="J69" s="66"/>
      <c r="K69" s="66"/>
      <c r="L69" s="66"/>
      <c r="M69" s="67"/>
      <c r="N69" s="68"/>
      <c r="O69" s="69"/>
      <c r="P69" s="40"/>
      <c r="Q69" s="61"/>
    </row>
    <row r="70" spans="1:17" x14ac:dyDescent="0.3">
      <c r="A70" s="19">
        <v>60</v>
      </c>
      <c r="B70" s="42" t="s">
        <v>110</v>
      </c>
      <c r="C70" s="51"/>
      <c r="D70" s="62"/>
      <c r="E70" s="63"/>
      <c r="F70" s="97"/>
      <c r="G70" s="98"/>
      <c r="H70" s="99"/>
      <c r="I70" s="101"/>
      <c r="O70" s="69"/>
      <c r="P70" s="68" t="s">
        <v>52</v>
      </c>
      <c r="Q70" s="61"/>
    </row>
    <row r="71" spans="1:17" x14ac:dyDescent="0.3">
      <c r="A71" s="19">
        <v>61</v>
      </c>
      <c r="B71" s="50" t="s">
        <v>111</v>
      </c>
      <c r="C71" s="51" t="s">
        <v>112</v>
      </c>
      <c r="D71" s="62">
        <v>0</v>
      </c>
      <c r="E71" s="63">
        <v>8113</v>
      </c>
      <c r="F71" s="64">
        <v>64800</v>
      </c>
      <c r="G71" s="55">
        <v>33420.080000000002</v>
      </c>
      <c r="H71" s="56">
        <v>35004</v>
      </c>
      <c r="I71" s="65"/>
      <c r="J71" s="66"/>
      <c r="K71" s="66"/>
      <c r="L71" s="66"/>
      <c r="M71" s="67">
        <f>+[1]Occupancy!I10+[1]Leases!I110+[1]Leases!I16</f>
        <v>44400</v>
      </c>
      <c r="N71" s="68"/>
      <c r="O71" s="69"/>
      <c r="P71" s="155"/>
      <c r="Q71" s="156"/>
    </row>
    <row r="72" spans="1:17" x14ac:dyDescent="0.3">
      <c r="A72" s="19">
        <v>62</v>
      </c>
      <c r="B72" s="50" t="s">
        <v>113</v>
      </c>
      <c r="C72" s="51" t="s">
        <v>114</v>
      </c>
      <c r="D72" s="62">
        <v>0</v>
      </c>
      <c r="E72" s="63">
        <v>17559</v>
      </c>
      <c r="F72" s="64">
        <v>15000</v>
      </c>
      <c r="G72" s="55">
        <v>26820.26</v>
      </c>
      <c r="H72" s="56">
        <v>27568</v>
      </c>
      <c r="I72" s="65"/>
      <c r="J72" s="66"/>
      <c r="K72" s="66"/>
      <c r="L72" s="66"/>
      <c r="M72" s="67">
        <f>+[1]Occupancy!I16</f>
        <v>15000</v>
      </c>
      <c r="N72" s="68"/>
      <c r="O72" s="69"/>
      <c r="P72" s="96"/>
      <c r="Q72" s="61"/>
    </row>
    <row r="73" spans="1:17" x14ac:dyDescent="0.3">
      <c r="A73" s="19">
        <v>63</v>
      </c>
      <c r="B73" s="50" t="s">
        <v>115</v>
      </c>
      <c r="C73" s="51" t="s">
        <v>116</v>
      </c>
      <c r="D73" s="62">
        <v>0</v>
      </c>
      <c r="E73" s="63">
        <v>10580</v>
      </c>
      <c r="F73" s="64">
        <v>108300</v>
      </c>
      <c r="G73" s="55">
        <v>71577.73</v>
      </c>
      <c r="H73" s="56">
        <v>79456</v>
      </c>
      <c r="I73" s="65"/>
      <c r="J73" s="66"/>
      <c r="K73" s="66"/>
      <c r="L73" s="66"/>
      <c r="M73" s="67">
        <f>+[1]Occupancy!I22</f>
        <v>116700</v>
      </c>
      <c r="N73" s="68"/>
      <c r="O73" s="69"/>
      <c r="P73" s="96"/>
      <c r="Q73" s="61"/>
    </row>
    <row r="74" spans="1:17" ht="13.5" thickBot="1" x14ac:dyDescent="0.35">
      <c r="A74" s="19">
        <v>64</v>
      </c>
      <c r="B74" s="50" t="s">
        <v>117</v>
      </c>
      <c r="C74" s="51" t="s">
        <v>118</v>
      </c>
      <c r="D74" s="62">
        <v>15500</v>
      </c>
      <c r="E74" s="63">
        <v>0</v>
      </c>
      <c r="F74" s="119">
        <v>7200</v>
      </c>
      <c r="G74" s="147">
        <v>7467.36</v>
      </c>
      <c r="H74" s="148">
        <v>7621</v>
      </c>
      <c r="I74" s="82"/>
      <c r="J74" s="83"/>
      <c r="K74" s="83"/>
      <c r="L74" s="83"/>
      <c r="M74" s="84">
        <f>+[1]Occupancy!I27</f>
        <v>7200</v>
      </c>
      <c r="N74" s="68"/>
      <c r="O74" s="69"/>
      <c r="P74" s="96"/>
      <c r="Q74" s="61"/>
    </row>
    <row r="75" spans="1:17" s="70" customFormat="1" x14ac:dyDescent="0.3">
      <c r="A75" s="19">
        <v>65</v>
      </c>
      <c r="B75" s="42" t="s">
        <v>119</v>
      </c>
      <c r="C75" s="85"/>
      <c r="D75" s="87"/>
      <c r="E75" s="87"/>
      <c r="F75" s="88">
        <f>SUM(F71:F74)</f>
        <v>195300</v>
      </c>
      <c r="G75" s="135">
        <f>SUM(G71:G74)</f>
        <v>139285.43</v>
      </c>
      <c r="H75" s="136">
        <f>SUM(H71:H74)</f>
        <v>149649</v>
      </c>
      <c r="I75" s="92"/>
      <c r="J75" s="91"/>
      <c r="K75" s="91"/>
      <c r="L75" s="91"/>
      <c r="M75" s="92">
        <f>SUM(M71:M74)</f>
        <v>183300</v>
      </c>
      <c r="N75" s="47"/>
      <c r="O75" s="48"/>
      <c r="P75" s="30"/>
      <c r="Q75" s="41"/>
    </row>
    <row r="76" spans="1:17" x14ac:dyDescent="0.3">
      <c r="A76" s="19">
        <v>66</v>
      </c>
      <c r="B76" s="51"/>
      <c r="C76" s="51"/>
      <c r="D76" s="63"/>
      <c r="E76" s="63"/>
      <c r="F76" s="115"/>
      <c r="G76" s="116"/>
      <c r="H76" s="117"/>
      <c r="I76" s="67"/>
      <c r="J76" s="66"/>
      <c r="K76" s="66"/>
      <c r="L76" s="66"/>
      <c r="M76" s="67"/>
      <c r="N76" s="68"/>
      <c r="O76" s="69"/>
      <c r="P76" s="96"/>
      <c r="Q76" s="61"/>
    </row>
    <row r="77" spans="1:17" s="70" customFormat="1" x14ac:dyDescent="0.3">
      <c r="A77" s="19">
        <v>67</v>
      </c>
      <c r="B77" s="42" t="s">
        <v>120</v>
      </c>
      <c r="C77" s="85" t="s">
        <v>52</v>
      </c>
      <c r="D77" s="87"/>
      <c r="E77" s="87"/>
      <c r="F77" s="139">
        <v>966900</v>
      </c>
      <c r="G77" s="55">
        <v>692175</v>
      </c>
      <c r="H77" s="56">
        <v>769083</v>
      </c>
      <c r="I77" s="43"/>
      <c r="J77" s="91"/>
      <c r="K77" s="91"/>
      <c r="L77" s="91"/>
      <c r="M77" s="92">
        <f>+[1]Occupancy!I34</f>
        <v>1375000</v>
      </c>
      <c r="N77" s="47"/>
      <c r="O77" s="48"/>
      <c r="P77" s="30"/>
      <c r="Q77" s="41"/>
    </row>
    <row r="78" spans="1:17" s="70" customFormat="1" x14ac:dyDescent="0.3">
      <c r="A78" s="19">
        <v>68</v>
      </c>
      <c r="B78" s="85" t="s">
        <v>121</v>
      </c>
      <c r="C78" s="85"/>
      <c r="D78" s="87"/>
      <c r="E78" s="87"/>
      <c r="F78" s="157">
        <v>65333.333333333336</v>
      </c>
      <c r="G78" s="55">
        <v>97255.33</v>
      </c>
      <c r="H78" s="56">
        <v>109461</v>
      </c>
      <c r="I78" s="158"/>
      <c r="J78" s="150"/>
      <c r="K78" s="150"/>
      <c r="L78" s="150"/>
      <c r="M78" s="159">
        <f>+[1]Capital!L66</f>
        <v>141512.33333333334</v>
      </c>
      <c r="N78" s="47"/>
      <c r="O78" s="48"/>
      <c r="P78" s="30"/>
      <c r="Q78" s="41"/>
    </row>
    <row r="79" spans="1:17" x14ac:dyDescent="0.3">
      <c r="A79" s="19">
        <v>69</v>
      </c>
      <c r="B79" s="51"/>
      <c r="C79" s="51"/>
      <c r="D79" s="63"/>
      <c r="E79" s="63"/>
      <c r="F79" s="97"/>
      <c r="G79" s="98"/>
      <c r="H79" s="99"/>
      <c r="I79" s="67"/>
      <c r="J79" s="66"/>
      <c r="K79" s="66"/>
      <c r="L79" s="66"/>
      <c r="M79" s="67"/>
      <c r="N79" s="68"/>
      <c r="O79" s="69"/>
      <c r="P79" s="96"/>
      <c r="Q79" s="61"/>
    </row>
    <row r="80" spans="1:17" s="70" customFormat="1" x14ac:dyDescent="0.3">
      <c r="A80" s="19">
        <v>70</v>
      </c>
      <c r="B80" s="42" t="s">
        <v>122</v>
      </c>
      <c r="C80" s="85" t="s">
        <v>52</v>
      </c>
      <c r="D80" s="86">
        <v>0</v>
      </c>
      <c r="E80" s="87">
        <v>135.75</v>
      </c>
      <c r="F80" s="118"/>
      <c r="G80" s="89"/>
      <c r="H80" s="90"/>
      <c r="I80" s="43"/>
      <c r="J80" s="91"/>
      <c r="K80" s="91"/>
      <c r="L80" s="91"/>
      <c r="M80" s="92"/>
      <c r="N80" s="47"/>
      <c r="O80" s="48"/>
      <c r="P80" s="30"/>
      <c r="Q80" s="41"/>
    </row>
    <row r="81" spans="1:17" x14ac:dyDescent="0.3">
      <c r="A81" s="19">
        <v>71</v>
      </c>
      <c r="B81" s="50" t="s">
        <v>123</v>
      </c>
      <c r="C81" s="51" t="s">
        <v>124</v>
      </c>
      <c r="D81" s="62">
        <v>25000</v>
      </c>
      <c r="E81" s="63">
        <v>2899</v>
      </c>
      <c r="F81" s="97">
        <v>0</v>
      </c>
      <c r="G81" s="98">
        <v>0</v>
      </c>
      <c r="H81" s="99">
        <v>0</v>
      </c>
      <c r="I81" s="65"/>
      <c r="J81" s="66"/>
      <c r="K81" s="66"/>
      <c r="L81" s="66"/>
      <c r="M81" s="67">
        <v>0</v>
      </c>
      <c r="N81" s="68"/>
      <c r="O81" s="69"/>
      <c r="P81" s="96"/>
      <c r="Q81" s="61"/>
    </row>
    <row r="82" spans="1:17" ht="12.75" customHeight="1" x14ac:dyDescent="0.3">
      <c r="A82" s="19">
        <v>72</v>
      </c>
      <c r="B82" s="50" t="s">
        <v>125</v>
      </c>
      <c r="C82" s="51" t="s">
        <v>126</v>
      </c>
      <c r="D82" s="62">
        <v>0</v>
      </c>
      <c r="E82" s="63">
        <v>12809</v>
      </c>
      <c r="F82" s="64">
        <v>120000</v>
      </c>
      <c r="G82" s="55">
        <v>33401.21</v>
      </c>
      <c r="H82" s="56">
        <v>33992</v>
      </c>
      <c r="I82" s="65"/>
      <c r="J82" s="66"/>
      <c r="K82" s="66"/>
      <c r="L82" s="66"/>
      <c r="M82" s="67">
        <f>+'[1]Office '!I10</f>
        <v>42000</v>
      </c>
      <c r="N82" s="68"/>
      <c r="O82" s="69"/>
      <c r="Q82" s="160"/>
    </row>
    <row r="83" spans="1:17" ht="12.75" customHeight="1" x14ac:dyDescent="0.3">
      <c r="A83" s="19">
        <v>73</v>
      </c>
      <c r="B83" s="50" t="s">
        <v>127</v>
      </c>
      <c r="C83" s="51" t="s">
        <v>128</v>
      </c>
      <c r="D83" s="63"/>
      <c r="E83" s="63"/>
      <c r="F83" s="64">
        <v>0</v>
      </c>
      <c r="G83" s="98">
        <v>0</v>
      </c>
      <c r="H83" s="99">
        <v>0</v>
      </c>
      <c r="I83" s="65"/>
      <c r="J83" s="66"/>
      <c r="K83" s="66"/>
      <c r="L83" s="66"/>
      <c r="M83" s="67"/>
      <c r="N83" s="161"/>
      <c r="O83" s="162"/>
      <c r="P83" s="163"/>
      <c r="Q83" s="160"/>
    </row>
    <row r="84" spans="1:17" ht="12.75" customHeight="1" x14ac:dyDescent="0.3">
      <c r="A84" s="19">
        <v>74</v>
      </c>
      <c r="B84" s="50" t="s">
        <v>129</v>
      </c>
      <c r="C84" s="51" t="s">
        <v>130</v>
      </c>
      <c r="D84" s="63"/>
      <c r="E84" s="63"/>
      <c r="F84" s="64">
        <v>25000</v>
      </c>
      <c r="G84" s="98">
        <v>0</v>
      </c>
      <c r="H84" s="99">
        <v>0</v>
      </c>
      <c r="I84" s="65"/>
      <c r="J84" s="66"/>
      <c r="K84" s="66"/>
      <c r="L84" s="66"/>
      <c r="M84" s="67">
        <f>+[1]Capital!K18</f>
        <v>5000</v>
      </c>
      <c r="N84" s="161"/>
      <c r="O84" s="162"/>
      <c r="P84" s="163"/>
      <c r="Q84" s="160"/>
    </row>
    <row r="85" spans="1:17" ht="12.75" customHeight="1" x14ac:dyDescent="0.3">
      <c r="A85" s="19">
        <v>75</v>
      </c>
      <c r="B85" s="50" t="s">
        <v>131</v>
      </c>
      <c r="C85" s="51" t="s">
        <v>132</v>
      </c>
      <c r="D85" s="63"/>
      <c r="E85" s="63"/>
      <c r="F85" s="119">
        <v>14000</v>
      </c>
      <c r="G85" s="80">
        <v>1097</v>
      </c>
      <c r="H85" s="81">
        <v>1097</v>
      </c>
      <c r="I85" s="65"/>
      <c r="J85" s="66"/>
      <c r="K85" s="66"/>
      <c r="L85" s="66"/>
      <c r="M85" s="84">
        <f>+'[1]Office '!I16</f>
        <v>8000</v>
      </c>
      <c r="N85" s="161"/>
      <c r="O85" s="162"/>
      <c r="P85" s="163"/>
      <c r="Q85" s="160"/>
    </row>
    <row r="86" spans="1:17" ht="12.75" customHeight="1" x14ac:dyDescent="0.3">
      <c r="A86" s="19">
        <v>76</v>
      </c>
      <c r="B86" s="42" t="s">
        <v>133</v>
      </c>
      <c r="C86" s="51"/>
      <c r="D86" s="63"/>
      <c r="E86" s="63"/>
      <c r="F86" s="115">
        <f>SUM(F84:F85)</f>
        <v>39000</v>
      </c>
      <c r="G86" s="116">
        <f>SUM(G84:G85)</f>
        <v>1097</v>
      </c>
      <c r="H86" s="117">
        <f>SUM(H84:H85)</f>
        <v>1097</v>
      </c>
      <c r="I86" s="65"/>
      <c r="J86" s="66"/>
      <c r="K86" s="66"/>
      <c r="L86" s="66"/>
      <c r="M86" s="67">
        <f>SUM(M84:M85)</f>
        <v>13000</v>
      </c>
      <c r="N86" s="161"/>
      <c r="O86" s="162"/>
      <c r="P86" s="163"/>
      <c r="Q86" s="160"/>
    </row>
    <row r="87" spans="1:17" ht="12.75" customHeight="1" x14ac:dyDescent="0.3">
      <c r="A87" s="19">
        <v>77</v>
      </c>
      <c r="B87" s="50"/>
      <c r="C87" s="51"/>
      <c r="D87" s="63"/>
      <c r="E87" s="63"/>
      <c r="F87" s="97"/>
      <c r="G87" s="98"/>
      <c r="H87" s="99"/>
      <c r="I87" s="65"/>
      <c r="J87" s="66"/>
      <c r="K87" s="66"/>
      <c r="L87" s="66"/>
      <c r="M87" s="67"/>
      <c r="N87" s="161"/>
      <c r="O87" s="162"/>
      <c r="P87" s="163"/>
      <c r="Q87" s="160"/>
    </row>
    <row r="88" spans="1:17" x14ac:dyDescent="0.3">
      <c r="A88" s="19">
        <v>78</v>
      </c>
      <c r="B88" s="50" t="s">
        <v>134</v>
      </c>
      <c r="C88" s="51" t="s">
        <v>135</v>
      </c>
      <c r="D88" s="63">
        <v>25000</v>
      </c>
      <c r="E88" s="63">
        <v>2239.5</v>
      </c>
      <c r="F88" s="64">
        <v>0</v>
      </c>
      <c r="G88" s="98">
        <v>0</v>
      </c>
      <c r="H88" s="99">
        <v>0</v>
      </c>
      <c r="I88" s="65"/>
      <c r="J88" s="66"/>
      <c r="K88" s="66"/>
      <c r="L88" s="66"/>
      <c r="M88" s="67">
        <v>0</v>
      </c>
      <c r="N88" s="161"/>
      <c r="O88" s="162"/>
      <c r="P88" s="40"/>
      <c r="Q88" s="61"/>
    </row>
    <row r="89" spans="1:17" x14ac:dyDescent="0.3">
      <c r="A89" s="19">
        <v>79</v>
      </c>
      <c r="B89" s="50" t="s">
        <v>136</v>
      </c>
      <c r="C89" s="51" t="s">
        <v>137</v>
      </c>
      <c r="D89" s="62">
        <v>0</v>
      </c>
      <c r="E89" s="63">
        <v>2891</v>
      </c>
      <c r="F89" s="64">
        <v>12576</v>
      </c>
      <c r="G89" s="55">
        <v>12266.96</v>
      </c>
      <c r="H89" s="56">
        <v>13682</v>
      </c>
      <c r="I89" s="65"/>
      <c r="J89" s="66"/>
      <c r="K89" s="66"/>
      <c r="L89" s="66"/>
      <c r="M89" s="67">
        <f>+'[1]Office '!I26</f>
        <v>20256</v>
      </c>
      <c r="N89" s="68"/>
      <c r="O89" s="69"/>
      <c r="P89" s="40"/>
      <c r="Q89" s="61"/>
    </row>
    <row r="90" spans="1:17" x14ac:dyDescent="0.3">
      <c r="A90" s="19">
        <v>80</v>
      </c>
      <c r="B90" s="50" t="s">
        <v>138</v>
      </c>
      <c r="C90" s="51" t="s">
        <v>139</v>
      </c>
      <c r="D90" s="62">
        <v>0</v>
      </c>
      <c r="E90" s="63">
        <v>5583.38</v>
      </c>
      <c r="F90" s="64">
        <v>10000</v>
      </c>
      <c r="G90" s="55">
        <v>13712.79</v>
      </c>
      <c r="H90" s="56">
        <v>13731</v>
      </c>
      <c r="I90" s="65"/>
      <c r="J90" s="66"/>
      <c r="K90" s="66"/>
      <c r="L90" s="66"/>
      <c r="M90" s="67">
        <f>+'[1]Office '!I33</f>
        <v>15000</v>
      </c>
      <c r="N90" s="68"/>
      <c r="O90" s="69"/>
      <c r="P90" s="104"/>
      <c r="Q90" s="94"/>
    </row>
    <row r="91" spans="1:17" x14ac:dyDescent="0.3">
      <c r="A91" s="19">
        <v>81</v>
      </c>
      <c r="B91" s="50" t="s">
        <v>140</v>
      </c>
      <c r="C91" s="51" t="s">
        <v>141</v>
      </c>
      <c r="D91" s="62">
        <v>159250</v>
      </c>
      <c r="E91" s="63">
        <v>0</v>
      </c>
      <c r="F91" s="64">
        <v>10000</v>
      </c>
      <c r="G91" s="55">
        <v>278.39</v>
      </c>
      <c r="H91" s="56">
        <v>286</v>
      </c>
      <c r="I91" s="74"/>
      <c r="J91" s="75"/>
      <c r="K91" s="75"/>
      <c r="L91" s="75"/>
      <c r="M91" s="76">
        <f>+'[1]Office '!I40</f>
        <v>1000</v>
      </c>
      <c r="N91" s="77"/>
      <c r="O91" s="78"/>
      <c r="P91" s="40"/>
      <c r="Q91" s="61"/>
    </row>
    <row r="92" spans="1:17" x14ac:dyDescent="0.3">
      <c r="A92" s="19">
        <v>82</v>
      </c>
      <c r="B92" s="50" t="s">
        <v>142</v>
      </c>
      <c r="C92" s="100" t="s">
        <v>143</v>
      </c>
      <c r="D92" s="113"/>
      <c r="E92" s="114"/>
      <c r="F92" s="54">
        <v>9900</v>
      </c>
      <c r="G92" s="55">
        <v>3635.82</v>
      </c>
      <c r="H92" s="56">
        <v>3889</v>
      </c>
      <c r="I92" s="164"/>
      <c r="J92" s="165"/>
      <c r="K92" s="165"/>
      <c r="L92" s="165"/>
      <c r="M92" s="166">
        <f>+[1]Leases!I7+[1]Leases!I11</f>
        <v>11400</v>
      </c>
      <c r="N92" s="68"/>
      <c r="O92" s="68"/>
    </row>
    <row r="93" spans="1:17" x14ac:dyDescent="0.3">
      <c r="A93" s="19">
        <v>83</v>
      </c>
      <c r="B93" s="112" t="s">
        <v>144</v>
      </c>
      <c r="C93" s="51" t="s">
        <v>145</v>
      </c>
      <c r="D93" s="86">
        <f>ROUND(SUBTOTAL(9, D23:D92), 5)</f>
        <v>4495159</v>
      </c>
      <c r="E93" s="87">
        <f>ROUND(SUBTOTAL(9, E23:E92), 5)</f>
        <v>2524407.06</v>
      </c>
      <c r="F93" s="119">
        <v>20000</v>
      </c>
      <c r="G93" s="80">
        <v>0</v>
      </c>
      <c r="H93" s="81">
        <v>0</v>
      </c>
      <c r="I93" s="82"/>
      <c r="J93" s="83"/>
      <c r="K93" s="83"/>
      <c r="L93" s="83"/>
      <c r="M93" s="84">
        <f>+'[1]Office '!I46</f>
        <v>0</v>
      </c>
      <c r="N93" s="47" t="e">
        <f>(#REF!-F93)/F93</f>
        <v>#REF!</v>
      </c>
      <c r="O93" s="48"/>
      <c r="P93" s="40"/>
      <c r="Q93" s="41"/>
    </row>
    <row r="94" spans="1:17" s="70" customFormat="1" x14ac:dyDescent="0.3">
      <c r="A94" s="19">
        <v>84</v>
      </c>
      <c r="B94" s="42" t="s">
        <v>146</v>
      </c>
      <c r="C94" s="30"/>
      <c r="D94" s="31"/>
      <c r="E94" s="30"/>
      <c r="F94" s="167">
        <f>+F81+F82+F86+F88+F89+F90+F91+F92+F93</f>
        <v>221476</v>
      </c>
      <c r="G94" s="168">
        <f>+G81+G82+G86+G88+G89+G90+G91+G92+G93</f>
        <v>64392.17</v>
      </c>
      <c r="H94" s="169">
        <f>+H81+H82+H86+H88+H89+H90+H91+H92+H93</f>
        <v>66677</v>
      </c>
      <c r="I94" s="170"/>
      <c r="J94" s="36"/>
      <c r="K94" s="36"/>
      <c r="L94" s="36"/>
      <c r="M94" s="45">
        <f>+M81+M82+M86+M88+M89+M90+M91+M92+M93</f>
        <v>102656</v>
      </c>
      <c r="N94" s="47"/>
      <c r="O94" s="48"/>
      <c r="P94" s="31"/>
      <c r="Q94" s="41"/>
    </row>
    <row r="95" spans="1:17" x14ac:dyDescent="0.3">
      <c r="A95" s="19">
        <v>85</v>
      </c>
      <c r="B95" s="85"/>
      <c r="C95" s="30"/>
      <c r="D95" s="30"/>
      <c r="E95" s="30"/>
      <c r="F95" s="118"/>
      <c r="G95" s="89"/>
      <c r="H95" s="90"/>
      <c r="I95" s="92"/>
      <c r="J95" s="91"/>
      <c r="K95" s="91"/>
      <c r="L95" s="91"/>
      <c r="M95" s="92"/>
      <c r="N95" s="47"/>
      <c r="O95" s="48"/>
      <c r="P95" s="40"/>
      <c r="Q95" s="41"/>
    </row>
    <row r="96" spans="1:17" s="70" customFormat="1" x14ac:dyDescent="0.3">
      <c r="A96" s="19">
        <v>86</v>
      </c>
      <c r="B96" s="42" t="s">
        <v>147</v>
      </c>
      <c r="C96" s="85"/>
      <c r="D96" s="86"/>
      <c r="E96" s="87"/>
      <c r="F96" s="118"/>
      <c r="G96" s="89"/>
      <c r="H96" s="90"/>
      <c r="I96" s="171"/>
      <c r="J96" s="150"/>
      <c r="K96" s="150"/>
      <c r="L96" s="150"/>
      <c r="M96" s="159"/>
      <c r="N96" s="47"/>
      <c r="O96" s="48"/>
      <c r="P96" s="31"/>
      <c r="Q96" s="41"/>
    </row>
    <row r="97" spans="1:17" x14ac:dyDescent="0.3">
      <c r="A97" s="19">
        <v>87</v>
      </c>
      <c r="B97" s="50" t="s">
        <v>148</v>
      </c>
      <c r="C97" s="51" t="s">
        <v>149</v>
      </c>
      <c r="D97" s="62">
        <v>47000</v>
      </c>
      <c r="E97" s="63">
        <v>649.48</v>
      </c>
      <c r="F97" s="64">
        <v>67200</v>
      </c>
      <c r="G97" s="55">
        <v>64564.61</v>
      </c>
      <c r="H97" s="56">
        <v>69390</v>
      </c>
      <c r="I97" s="65"/>
      <c r="J97" s="66"/>
      <c r="K97" s="66"/>
      <c r="L97" s="66"/>
      <c r="M97" s="67">
        <f>+[1]ProfessionalFees!H11</f>
        <v>90600</v>
      </c>
      <c r="N97" s="68"/>
      <c r="O97" s="69"/>
      <c r="P97" s="40"/>
      <c r="Q97" s="61"/>
    </row>
    <row r="98" spans="1:17" x14ac:dyDescent="0.3">
      <c r="A98" s="19">
        <v>88</v>
      </c>
      <c r="B98" s="50" t="s">
        <v>150</v>
      </c>
      <c r="C98" s="51" t="s">
        <v>151</v>
      </c>
      <c r="D98" s="62">
        <v>5000</v>
      </c>
      <c r="E98" s="63">
        <v>269.81</v>
      </c>
      <c r="F98" s="64">
        <v>84000</v>
      </c>
      <c r="G98" s="55">
        <v>58559.83</v>
      </c>
      <c r="H98" s="56">
        <v>66335</v>
      </c>
      <c r="I98" s="65"/>
      <c r="J98" s="66"/>
      <c r="K98" s="66"/>
      <c r="L98" s="66"/>
      <c r="M98" s="67">
        <f>+[1]ProfessionalFees!H16</f>
        <v>96000</v>
      </c>
      <c r="N98" s="161"/>
      <c r="O98" s="162"/>
      <c r="P98" s="40"/>
      <c r="Q98" s="61"/>
    </row>
    <row r="99" spans="1:17" x14ac:dyDescent="0.3">
      <c r="A99" s="19">
        <v>89</v>
      </c>
      <c r="B99" s="50" t="s">
        <v>152</v>
      </c>
      <c r="C99" s="51" t="s">
        <v>153</v>
      </c>
      <c r="D99" s="62"/>
      <c r="E99" s="63"/>
      <c r="F99" s="64">
        <v>6650</v>
      </c>
      <c r="G99" s="55">
        <v>10030.94</v>
      </c>
      <c r="H99" s="56">
        <v>11231</v>
      </c>
      <c r="I99" s="65"/>
      <c r="J99" s="66"/>
      <c r="K99" s="66"/>
      <c r="L99" s="66"/>
      <c r="M99" s="67">
        <f>+[1]ProfessionalFees!H23</f>
        <v>8400</v>
      </c>
      <c r="N99" s="161"/>
      <c r="O99" s="162"/>
      <c r="P99" s="40"/>
      <c r="Q99" s="61"/>
    </row>
    <row r="100" spans="1:17" x14ac:dyDescent="0.3">
      <c r="A100" s="19">
        <v>90</v>
      </c>
      <c r="B100" s="50" t="s">
        <v>154</v>
      </c>
      <c r="C100" s="51" t="s">
        <v>155</v>
      </c>
      <c r="D100" s="62">
        <v>0</v>
      </c>
      <c r="E100" s="63">
        <v>129.53</v>
      </c>
      <c r="F100" s="97">
        <v>0</v>
      </c>
      <c r="G100" s="98">
        <v>0</v>
      </c>
      <c r="H100" s="99">
        <v>0</v>
      </c>
      <c r="I100" s="65"/>
      <c r="J100" s="66"/>
      <c r="K100" s="66"/>
      <c r="L100" s="66"/>
      <c r="M100" s="67">
        <v>0</v>
      </c>
      <c r="N100" s="68"/>
      <c r="O100" s="69"/>
      <c r="P100" s="40"/>
      <c r="Q100" s="61"/>
    </row>
    <row r="101" spans="1:17" x14ac:dyDescent="0.3">
      <c r="A101" s="19">
        <v>91</v>
      </c>
      <c r="B101" s="51" t="s">
        <v>156</v>
      </c>
      <c r="C101" s="51" t="s">
        <v>157</v>
      </c>
      <c r="D101" s="62">
        <v>0</v>
      </c>
      <c r="E101" s="63">
        <v>14199.9</v>
      </c>
      <c r="F101" s="71">
        <v>0</v>
      </c>
      <c r="G101" s="72">
        <v>7838</v>
      </c>
      <c r="H101" s="73">
        <v>7838</v>
      </c>
      <c r="I101" s="74"/>
      <c r="J101" s="75"/>
      <c r="K101" s="75"/>
      <c r="L101" s="75"/>
      <c r="M101" s="76">
        <v>0</v>
      </c>
      <c r="N101" s="161"/>
      <c r="O101" s="162"/>
      <c r="P101" s="104"/>
      <c r="Q101" s="94"/>
    </row>
    <row r="102" spans="1:17" x14ac:dyDescent="0.3">
      <c r="A102" s="19">
        <v>92</v>
      </c>
      <c r="B102" s="51" t="s">
        <v>158</v>
      </c>
      <c r="C102" s="51" t="s">
        <v>159</v>
      </c>
      <c r="D102" s="62"/>
      <c r="E102" s="63"/>
      <c r="F102" s="71">
        <v>0</v>
      </c>
      <c r="G102" s="72">
        <v>0</v>
      </c>
      <c r="H102" s="73">
        <v>0</v>
      </c>
      <c r="I102" s="74"/>
      <c r="J102" s="75"/>
      <c r="K102" s="75"/>
      <c r="L102" s="75"/>
      <c r="M102" s="76"/>
      <c r="N102" s="161"/>
      <c r="O102" s="162"/>
      <c r="P102" s="104"/>
      <c r="Q102" s="94"/>
    </row>
    <row r="103" spans="1:17" x14ac:dyDescent="0.3">
      <c r="A103" s="19">
        <v>93</v>
      </c>
      <c r="B103" s="51" t="s">
        <v>160</v>
      </c>
      <c r="C103" s="51" t="s">
        <v>161</v>
      </c>
      <c r="D103" s="62"/>
      <c r="E103" s="63"/>
      <c r="F103" s="79">
        <v>0</v>
      </c>
      <c r="G103" s="80">
        <v>0</v>
      </c>
      <c r="H103" s="81">
        <v>0</v>
      </c>
      <c r="I103" s="82"/>
      <c r="J103" s="83"/>
      <c r="K103" s="83"/>
      <c r="L103" s="83"/>
      <c r="M103" s="84"/>
      <c r="N103" s="161"/>
      <c r="O103" s="162"/>
      <c r="P103" s="104"/>
      <c r="Q103" s="94"/>
    </row>
    <row r="104" spans="1:17" s="70" customFormat="1" x14ac:dyDescent="0.3">
      <c r="A104" s="19">
        <v>94</v>
      </c>
      <c r="B104" s="42" t="s">
        <v>162</v>
      </c>
      <c r="C104" s="172"/>
      <c r="D104" s="87"/>
      <c r="E104" s="87"/>
      <c r="F104" s="88">
        <f>SUM(F97:F103)</f>
        <v>157850</v>
      </c>
      <c r="G104" s="135">
        <f>SUM(G97:G103)</f>
        <v>140993.38</v>
      </c>
      <c r="H104" s="136">
        <f>SUM(H97:H103)</f>
        <v>154794</v>
      </c>
      <c r="I104" s="43"/>
      <c r="J104" s="91"/>
      <c r="K104" s="91"/>
      <c r="L104" s="91"/>
      <c r="M104" s="92">
        <f>SUM(M97:M101)</f>
        <v>195000</v>
      </c>
      <c r="N104" s="173"/>
      <c r="O104" s="174"/>
      <c r="P104" s="151"/>
      <c r="Q104" s="94"/>
    </row>
    <row r="105" spans="1:17" x14ac:dyDescent="0.3">
      <c r="A105" s="19">
        <v>95</v>
      </c>
      <c r="B105" s="51"/>
      <c r="C105" s="51"/>
      <c r="D105" s="63"/>
      <c r="E105" s="63"/>
      <c r="F105" s="97"/>
      <c r="G105" s="98"/>
      <c r="H105" s="99"/>
      <c r="I105" s="67"/>
      <c r="J105" s="66"/>
      <c r="K105" s="66"/>
      <c r="L105" s="66"/>
      <c r="M105" s="67"/>
      <c r="N105" s="161"/>
      <c r="O105" s="162"/>
      <c r="P105" s="155"/>
      <c r="Q105" s="94"/>
    </row>
    <row r="106" spans="1:17" s="70" customFormat="1" x14ac:dyDescent="0.3">
      <c r="A106" s="19">
        <v>96</v>
      </c>
      <c r="B106" s="85" t="s">
        <v>163</v>
      </c>
      <c r="C106" s="85"/>
      <c r="D106" s="87"/>
      <c r="E106" s="87"/>
      <c r="F106" s="118"/>
      <c r="G106" s="89"/>
      <c r="H106" s="90"/>
      <c r="I106" s="92"/>
      <c r="J106" s="91"/>
      <c r="K106" s="91"/>
      <c r="L106" s="91"/>
      <c r="M106" s="92"/>
      <c r="N106" s="173"/>
      <c r="O106" s="174"/>
      <c r="P106" s="151" t="s">
        <v>52</v>
      </c>
      <c r="Q106" s="94"/>
    </row>
    <row r="107" spans="1:17" x14ac:dyDescent="0.3">
      <c r="A107" s="19">
        <v>97</v>
      </c>
      <c r="B107" s="51" t="s">
        <v>164</v>
      </c>
      <c r="C107" s="51" t="s">
        <v>165</v>
      </c>
      <c r="D107" s="63">
        <v>5000</v>
      </c>
      <c r="E107" s="63">
        <v>963.67</v>
      </c>
      <c r="F107" s="64">
        <v>9000</v>
      </c>
      <c r="G107" s="55">
        <v>2759.21</v>
      </c>
      <c r="H107" s="56">
        <v>2932</v>
      </c>
      <c r="I107" s="65"/>
      <c r="J107" s="66"/>
      <c r="K107" s="66"/>
      <c r="L107" s="66"/>
      <c r="M107" s="67">
        <f>+[1]ProfessionalFees!H30</f>
        <v>4000</v>
      </c>
      <c r="N107" s="161"/>
      <c r="O107" s="162"/>
      <c r="P107" s="96"/>
      <c r="Q107" s="61"/>
    </row>
    <row r="108" spans="1:17" x14ac:dyDescent="0.3">
      <c r="A108" s="19">
        <v>98</v>
      </c>
      <c r="B108" s="51" t="s">
        <v>166</v>
      </c>
      <c r="C108" s="51" t="s">
        <v>167</v>
      </c>
      <c r="D108" s="63">
        <v>5000</v>
      </c>
      <c r="E108" s="63">
        <v>0</v>
      </c>
      <c r="F108" s="64">
        <v>1061.1200000000001</v>
      </c>
      <c r="G108" s="55">
        <v>839.2</v>
      </c>
      <c r="H108" s="56">
        <v>885</v>
      </c>
      <c r="I108" s="65"/>
      <c r="J108" s="66"/>
      <c r="K108" s="66"/>
      <c r="L108" s="66"/>
      <c r="M108" s="67">
        <f>+[1]General!G9</f>
        <v>2000</v>
      </c>
      <c r="N108" s="161"/>
      <c r="O108" s="162"/>
      <c r="P108" s="96"/>
      <c r="Q108" s="61"/>
    </row>
    <row r="109" spans="1:17" x14ac:dyDescent="0.3">
      <c r="A109" s="19">
        <v>99</v>
      </c>
      <c r="B109" s="51" t="s">
        <v>168</v>
      </c>
      <c r="C109" s="51" t="s">
        <v>169</v>
      </c>
      <c r="D109" s="63">
        <v>5000</v>
      </c>
      <c r="E109" s="63">
        <v>0</v>
      </c>
      <c r="F109" s="97">
        <v>0</v>
      </c>
      <c r="G109" s="55">
        <v>1933.37</v>
      </c>
      <c r="H109" s="56">
        <v>2368</v>
      </c>
      <c r="I109" s="65"/>
      <c r="J109" s="66"/>
      <c r="K109" s="66"/>
      <c r="L109" s="66"/>
      <c r="M109" s="67">
        <f>+[1]General!G14</f>
        <v>5000</v>
      </c>
      <c r="N109" s="161"/>
      <c r="O109" s="162"/>
      <c r="P109" s="96"/>
      <c r="Q109" s="61"/>
    </row>
    <row r="110" spans="1:17" x14ac:dyDescent="0.3">
      <c r="A110" s="19">
        <v>100</v>
      </c>
      <c r="B110" s="51" t="s">
        <v>170</v>
      </c>
      <c r="C110" s="175" t="s">
        <v>171</v>
      </c>
      <c r="D110" s="63">
        <v>5000</v>
      </c>
      <c r="E110" s="63">
        <v>1276.3399999999999</v>
      </c>
      <c r="F110" s="97">
        <v>0</v>
      </c>
      <c r="G110" s="98">
        <v>0</v>
      </c>
      <c r="H110" s="99">
        <v>0</v>
      </c>
      <c r="I110" s="65"/>
      <c r="J110" s="66"/>
      <c r="K110" s="66"/>
      <c r="L110" s="66"/>
      <c r="N110" s="161"/>
      <c r="O110" s="162"/>
      <c r="P110" s="96"/>
      <c r="Q110" s="61"/>
    </row>
    <row r="111" spans="1:17" x14ac:dyDescent="0.3">
      <c r="A111" s="19">
        <v>101</v>
      </c>
      <c r="B111" s="51" t="s">
        <v>172</v>
      </c>
      <c r="C111" s="51" t="s">
        <v>173</v>
      </c>
      <c r="D111" s="63">
        <v>20000</v>
      </c>
      <c r="E111" s="63">
        <v>6949.04</v>
      </c>
      <c r="F111" s="64">
        <v>27483.215</v>
      </c>
      <c r="G111" s="55">
        <v>34176.910000000003</v>
      </c>
      <c r="H111" s="56">
        <v>36369</v>
      </c>
      <c r="I111" s="65"/>
      <c r="J111" s="66"/>
      <c r="K111" s="66"/>
      <c r="L111" s="66"/>
      <c r="M111" s="67">
        <f>+'[1]PP revenue fy18'!G33</f>
        <v>62574.552000000018</v>
      </c>
      <c r="N111" s="161"/>
      <c r="O111" s="162"/>
      <c r="P111" s="96"/>
      <c r="Q111" s="61"/>
    </row>
    <row r="112" spans="1:17" x14ac:dyDescent="0.3">
      <c r="A112" s="19">
        <v>102</v>
      </c>
      <c r="B112" s="51" t="s">
        <v>174</v>
      </c>
      <c r="C112" s="51" t="s">
        <v>175</v>
      </c>
      <c r="D112" s="63"/>
      <c r="E112" s="63"/>
      <c r="F112" s="97">
        <v>0</v>
      </c>
      <c r="G112" s="98">
        <v>0</v>
      </c>
      <c r="H112" s="99">
        <v>0</v>
      </c>
      <c r="I112" s="65"/>
      <c r="J112" s="66"/>
      <c r="K112" s="66"/>
      <c r="L112" s="66"/>
      <c r="M112" s="67"/>
      <c r="N112" s="161"/>
      <c r="O112" s="162"/>
      <c r="P112" s="96"/>
      <c r="Q112" s="61"/>
    </row>
    <row r="113" spans="1:17" x14ac:dyDescent="0.3">
      <c r="A113" s="19">
        <v>103</v>
      </c>
      <c r="B113" s="51" t="s">
        <v>176</v>
      </c>
      <c r="C113" s="51" t="s">
        <v>177</v>
      </c>
      <c r="D113" s="63"/>
      <c r="E113" s="63"/>
      <c r="F113" s="97">
        <v>0</v>
      </c>
      <c r="G113" s="98">
        <v>0</v>
      </c>
      <c r="H113" s="99">
        <v>0</v>
      </c>
      <c r="I113" s="65"/>
      <c r="J113" s="66"/>
      <c r="K113" s="66"/>
      <c r="L113" s="66"/>
      <c r="M113" s="67">
        <v>0</v>
      </c>
      <c r="N113" s="161"/>
      <c r="O113" s="162"/>
      <c r="P113" s="96"/>
      <c r="Q113" s="61"/>
    </row>
    <row r="114" spans="1:17" x14ac:dyDescent="0.3">
      <c r="A114" s="19">
        <v>104</v>
      </c>
      <c r="B114" s="51" t="s">
        <v>178</v>
      </c>
      <c r="C114" s="51" t="s">
        <v>179</v>
      </c>
      <c r="D114" s="63"/>
      <c r="E114" s="63"/>
      <c r="F114" s="97">
        <v>35000</v>
      </c>
      <c r="G114" s="55">
        <v>47960</v>
      </c>
      <c r="H114" s="56">
        <v>47960</v>
      </c>
      <c r="I114" s="74"/>
      <c r="J114" s="75"/>
      <c r="K114" s="75"/>
      <c r="L114" s="75"/>
      <c r="M114" s="76">
        <f>+[1]Outreach!G9</f>
        <v>15000</v>
      </c>
      <c r="N114" s="161"/>
      <c r="O114" s="162"/>
      <c r="P114" s="96"/>
      <c r="Q114" s="61"/>
    </row>
    <row r="115" spans="1:17" x14ac:dyDescent="0.3">
      <c r="A115" s="19">
        <v>105</v>
      </c>
      <c r="B115" s="50" t="s">
        <v>180</v>
      </c>
      <c r="C115" s="51" t="s">
        <v>181</v>
      </c>
      <c r="D115" s="62">
        <v>35000</v>
      </c>
      <c r="E115" s="63">
        <v>0</v>
      </c>
      <c r="F115" s="71">
        <v>0</v>
      </c>
      <c r="G115" s="72">
        <v>2504</v>
      </c>
      <c r="H115" s="73">
        <v>2630</v>
      </c>
      <c r="I115" s="74"/>
      <c r="J115" s="75"/>
      <c r="K115" s="75"/>
      <c r="L115" s="75"/>
      <c r="M115" s="76">
        <f>+'[1]debt and banking fy18'!J24</f>
        <v>2500</v>
      </c>
      <c r="N115" s="77"/>
      <c r="O115" s="78"/>
      <c r="Q115" s="61"/>
    </row>
    <row r="116" spans="1:17" x14ac:dyDescent="0.3">
      <c r="A116" s="19">
        <v>106</v>
      </c>
      <c r="B116" s="50" t="s">
        <v>182</v>
      </c>
      <c r="C116" s="51" t="s">
        <v>183</v>
      </c>
      <c r="D116" s="62"/>
      <c r="E116" s="63"/>
      <c r="F116" s="79">
        <v>0</v>
      </c>
      <c r="G116" s="80">
        <v>12699</v>
      </c>
      <c r="H116" s="81">
        <v>12699</v>
      </c>
      <c r="I116" s="82"/>
      <c r="J116" s="83"/>
      <c r="K116" s="83"/>
      <c r="L116" s="83"/>
      <c r="M116" s="84">
        <f>+[1]General!G19</f>
        <v>15000</v>
      </c>
      <c r="N116" s="77"/>
      <c r="O116" s="78"/>
      <c r="Q116" s="61"/>
    </row>
    <row r="117" spans="1:17" s="70" customFormat="1" x14ac:dyDescent="0.3">
      <c r="A117" s="19">
        <v>107</v>
      </c>
      <c r="B117" s="85" t="s">
        <v>184</v>
      </c>
      <c r="C117" s="176"/>
      <c r="D117" s="177"/>
      <c r="E117" s="178"/>
      <c r="F117" s="88">
        <f>SUM(F107:F116)</f>
        <v>72544.334999999992</v>
      </c>
      <c r="G117" s="135">
        <f>SUM(G107:G116)</f>
        <v>102871.69</v>
      </c>
      <c r="H117" s="136">
        <f>SUM(H107:H116)</f>
        <v>105843</v>
      </c>
      <c r="I117" s="171"/>
      <c r="J117" s="150"/>
      <c r="K117" s="150"/>
      <c r="L117" s="150"/>
      <c r="M117" s="159">
        <f>SUM(M107:M116)</f>
        <v>106074.55200000003</v>
      </c>
      <c r="N117" s="47"/>
      <c r="O117" s="47"/>
      <c r="P117" s="19"/>
    </row>
    <row r="118" spans="1:17" x14ac:dyDescent="0.3">
      <c r="A118" s="19">
        <v>108</v>
      </c>
      <c r="B118" s="85" t="s">
        <v>185</v>
      </c>
      <c r="F118" s="115"/>
      <c r="G118" s="135">
        <v>0</v>
      </c>
      <c r="H118" s="136">
        <v>0</v>
      </c>
      <c r="N118" s="47" t="s">
        <v>52</v>
      </c>
      <c r="O118" s="110"/>
      <c r="P118" s="40"/>
      <c r="Q118" s="41"/>
    </row>
    <row r="119" spans="1:17" x14ac:dyDescent="0.3">
      <c r="A119" s="19">
        <v>109</v>
      </c>
      <c r="B119" s="85" t="s">
        <v>186</v>
      </c>
      <c r="F119" s="115"/>
      <c r="G119" s="135">
        <v>0</v>
      </c>
      <c r="H119" s="136">
        <v>0</v>
      </c>
      <c r="M119" s="159">
        <f>+[1]Contengency!G9</f>
        <v>84000</v>
      </c>
      <c r="N119" s="47"/>
      <c r="O119" s="110"/>
      <c r="P119" s="40"/>
      <c r="Q119" s="41"/>
    </row>
    <row r="120" spans="1:17" x14ac:dyDescent="0.3">
      <c r="A120" s="19">
        <v>110</v>
      </c>
      <c r="B120" s="85"/>
      <c r="F120" s="115"/>
      <c r="G120" s="135"/>
      <c r="H120" s="136"/>
      <c r="N120" s="47"/>
      <c r="O120" s="110"/>
      <c r="P120" s="40"/>
      <c r="Q120" s="41"/>
    </row>
    <row r="121" spans="1:17" x14ac:dyDescent="0.3">
      <c r="A121" s="19">
        <v>111</v>
      </c>
      <c r="B121" s="42" t="s">
        <v>32</v>
      </c>
      <c r="C121" s="85" t="s">
        <v>187</v>
      </c>
      <c r="D121" s="86" t="e">
        <f>ROUND(D93+#REF!+#REF!+#REF!+#REF!+#REF!+ SUBTOTAL(9,#REF!), 5)</f>
        <v>#REF!</v>
      </c>
      <c r="E121" s="87" t="e">
        <f>ROUND(E93+#REF!+#REF!+#REF!+#REF!+#REF!+ SUBTOTAL(9,#REF!), 5)</f>
        <v>#REF!</v>
      </c>
      <c r="F121" s="180">
        <f>+F41+F43+F49+F54+F56+F68+F75+F77+F78+F94+F104+F117</f>
        <v>5402986.9983333331</v>
      </c>
      <c r="G121" s="181">
        <f>G41+G43+G49+G54+G56+G68+G75+G77+G78+G94+G104+G117+G118</f>
        <v>4335171.620000001</v>
      </c>
      <c r="H121" s="182">
        <f>H41+H43+H49+H54+H56+H68+H75+H77+H78+H94+H104+H117+H118</f>
        <v>4802184.91</v>
      </c>
      <c r="I121" s="183"/>
      <c r="J121" s="91"/>
      <c r="K121" s="91"/>
      <c r="L121" s="91"/>
      <c r="M121" s="91">
        <f>M26+M41+M43+M49+M54+M56+M68+M75+M77+M78+M94+M104+M117+M119</f>
        <v>6620810.5853333334</v>
      </c>
      <c r="N121" s="47" t="e">
        <f>(#REF!-F121)/F121</f>
        <v>#REF!</v>
      </c>
      <c r="O121" s="48"/>
      <c r="P121" s="40"/>
      <c r="Q121" s="41"/>
    </row>
    <row r="122" spans="1:17" x14ac:dyDescent="0.3">
      <c r="A122" s="19">
        <v>112</v>
      </c>
      <c r="B122" s="95" t="s">
        <v>32</v>
      </c>
      <c r="C122" s="96"/>
      <c r="D122" s="40"/>
      <c r="E122" s="96"/>
      <c r="F122" s="71"/>
      <c r="G122" s="72"/>
      <c r="H122" s="73"/>
      <c r="I122" s="74"/>
      <c r="J122" s="75"/>
      <c r="K122" s="75"/>
      <c r="L122" s="75"/>
      <c r="M122" s="76"/>
      <c r="N122" s="161"/>
      <c r="O122" s="162"/>
      <c r="P122" s="40"/>
      <c r="Q122" s="61"/>
    </row>
    <row r="123" spans="1:17" s="70" customFormat="1" x14ac:dyDescent="0.3">
      <c r="A123" s="19">
        <v>113</v>
      </c>
      <c r="B123" s="184"/>
      <c r="C123" s="85" t="s">
        <v>44</v>
      </c>
      <c r="D123" s="185"/>
      <c r="E123" s="186"/>
      <c r="F123" s="167">
        <f>+F21</f>
        <v>5558269.5199999996</v>
      </c>
      <c r="G123" s="168">
        <f>+G21</f>
        <v>4958541.12</v>
      </c>
      <c r="H123" s="169">
        <f>+H21</f>
        <v>5445302.7999999998</v>
      </c>
      <c r="I123" s="187"/>
      <c r="J123" s="188"/>
      <c r="K123" s="188"/>
      <c r="L123" s="188"/>
      <c r="M123" s="189">
        <f>+M21</f>
        <v>7033228.0000000009</v>
      </c>
      <c r="N123" s="173"/>
      <c r="O123" s="173"/>
      <c r="P123" s="19"/>
    </row>
    <row r="124" spans="1:17" s="70" customFormat="1" x14ac:dyDescent="0.3">
      <c r="A124" s="19">
        <v>114</v>
      </c>
      <c r="B124" s="184"/>
      <c r="C124" s="85"/>
      <c r="D124" s="185"/>
      <c r="E124" s="186"/>
      <c r="F124" s="167"/>
      <c r="G124" s="168"/>
      <c r="H124" s="169"/>
      <c r="I124" s="187"/>
      <c r="J124" s="188"/>
      <c r="K124" s="188"/>
      <c r="L124" s="188"/>
      <c r="M124" s="189"/>
      <c r="N124" s="173"/>
      <c r="O124" s="173"/>
      <c r="P124" s="19"/>
    </row>
    <row r="125" spans="1:17" x14ac:dyDescent="0.3">
      <c r="A125" s="19">
        <v>115</v>
      </c>
      <c r="B125" s="42" t="s">
        <v>32</v>
      </c>
      <c r="C125" s="85" t="s">
        <v>188</v>
      </c>
      <c r="D125" s="190" t="e">
        <f>-(ROUND(-D21+D121-SUBTOTAL(9, D122:D122), 5))</f>
        <v>#REF!</v>
      </c>
      <c r="E125" s="191" t="e">
        <f>-(ROUND(-E21+E121-SUBTOTAL(9, E122:E122), 5))</f>
        <v>#REF!</v>
      </c>
      <c r="F125" s="192">
        <f>-(ROUND(-F21+F121-SUBTOTAL(9, F122:F122), 5))</f>
        <v>155282.52166999999</v>
      </c>
      <c r="G125" s="193">
        <f>-(ROUND(-G21+G121-SUBTOTAL(9, G122:G122), 5))</f>
        <v>623369.5</v>
      </c>
      <c r="H125" s="194">
        <f>-(ROUND(-H21+H121-SUBTOTAL(9, H122:H122), 5))</f>
        <v>643117.89</v>
      </c>
      <c r="I125" s="195"/>
      <c r="J125" s="196"/>
      <c r="K125" s="196"/>
      <c r="L125" s="196"/>
      <c r="M125" s="196">
        <f>-(ROUND(-M21+M121-SUBTOTAL(9, M122:M122), 5))</f>
        <v>412417.41467000003</v>
      </c>
      <c r="N125" s="47"/>
      <c r="O125" s="110"/>
      <c r="P125" s="40"/>
      <c r="Q125" s="41"/>
    </row>
    <row r="126" spans="1:17" x14ac:dyDescent="0.3">
      <c r="A126" s="19">
        <v>116</v>
      </c>
      <c r="B126" s="42"/>
      <c r="D126" s="197"/>
      <c r="E126" s="198"/>
      <c r="F126" s="192"/>
      <c r="G126" s="193"/>
      <c r="H126" s="194"/>
      <c r="I126" s="199"/>
      <c r="J126" s="36"/>
      <c r="K126" s="36"/>
      <c r="L126" s="36"/>
      <c r="M126" s="36"/>
      <c r="N126" s="47"/>
      <c r="O126" s="110"/>
      <c r="P126" s="40"/>
      <c r="Q126" s="41"/>
    </row>
    <row r="127" spans="1:17" x14ac:dyDescent="0.3">
      <c r="B127" s="200"/>
      <c r="C127" s="201"/>
      <c r="D127" s="31"/>
      <c r="E127" s="30"/>
      <c r="F127" s="202"/>
      <c r="G127" s="202"/>
      <c r="H127" s="202"/>
      <c r="I127" s="203"/>
      <c r="J127" s="91"/>
      <c r="K127" s="91"/>
      <c r="L127" s="91"/>
      <c r="M127" s="92"/>
      <c r="N127" s="204"/>
      <c r="O127" s="39"/>
      <c r="P127" s="40"/>
      <c r="Q127" s="41"/>
    </row>
    <row r="128" spans="1:17" x14ac:dyDescent="0.3">
      <c r="B128" s="96"/>
      <c r="C128" s="96"/>
      <c r="D128" s="40"/>
      <c r="E128" s="30"/>
      <c r="F128" s="202"/>
      <c r="G128" s="202"/>
      <c r="H128" s="202"/>
      <c r="I128" s="203"/>
      <c r="J128" s="91"/>
      <c r="K128" s="91"/>
      <c r="L128" s="91"/>
      <c r="M128" s="92"/>
      <c r="N128" s="204"/>
      <c r="O128" s="39"/>
      <c r="P128" s="40"/>
      <c r="Q128" s="41"/>
    </row>
    <row r="129" spans="2:17" x14ac:dyDescent="0.3">
      <c r="B129" s="31"/>
      <c r="C129" s="30"/>
      <c r="D129" s="31"/>
      <c r="E129" s="30"/>
      <c r="F129" s="202"/>
      <c r="G129" s="202"/>
      <c r="H129" s="202"/>
      <c r="I129" s="203"/>
      <c r="J129" s="91"/>
      <c r="K129" s="91"/>
      <c r="L129" s="91"/>
      <c r="M129" s="92"/>
      <c r="N129" s="204"/>
      <c r="O129" s="39"/>
      <c r="P129" s="40"/>
      <c r="Q129" s="41"/>
    </row>
    <row r="130" spans="2:17" x14ac:dyDescent="0.3">
      <c r="B130" s="3" t="s">
        <v>52</v>
      </c>
    </row>
    <row r="131" spans="2:17" x14ac:dyDescent="0.3">
      <c r="F131" s="205"/>
      <c r="G131" s="205"/>
    </row>
  </sheetData>
  <mergeCells count="4">
    <mergeCell ref="A1:N1"/>
    <mergeCell ref="A2:N2"/>
    <mergeCell ref="J6:M6"/>
    <mergeCell ref="F9:H9"/>
  </mergeCells>
  <printOptions horizontalCentered="1" gridLines="1"/>
  <pageMargins left="0.5" right="0.5" top="0.25" bottom="0.25" header="0.5" footer="0.5"/>
  <pageSetup scale="66" fitToHeight="20" orientation="landscape" r:id="rId1"/>
  <headerFooter alignWithMargins="0"/>
  <rowBreaks count="1" manualBreakCount="1">
    <brk id="53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Total Yr Bug &amp; Act. (Grouped)</vt:lpstr>
      <vt:lpstr>'Total Yr Bug &amp; Act. (Grouped)'!Print_Area</vt:lpstr>
      <vt:lpstr>'Total Yr Bug &amp; Act. (Grouped)'!Print_Titles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monic_000</dc:creator>
  <cp:lastModifiedBy>monic_000</cp:lastModifiedBy>
  <dcterms:created xsi:type="dcterms:W3CDTF">2017-06-01T18:31:58Z</dcterms:created>
  <dcterms:modified xsi:type="dcterms:W3CDTF">2017-06-01T18:39:51Z</dcterms:modified>
</cp:coreProperties>
</file>