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\Dropbox\CommunityCollegePrep\2017Raffa\"/>
    </mc:Choice>
  </mc:AlternateContent>
  <bookViews>
    <workbookView xWindow="0" yWindow="0" windowWidth="19200" windowHeight="10395"/>
  </bookViews>
  <sheets>
    <sheet name="Total Yr Bug &amp; Act. (Grouped)" sheetId="1" r:id="rId1"/>
  </sheets>
  <externalReferences>
    <externalReference r:id="rId2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_xlnm.Print_Area" localSheetId="0">'Total Yr Bug &amp; Act. (Grouped)'!$A$1:$L$123</definedName>
    <definedName name="_xlnm.Print_Titles" localSheetId="0">'Total Yr Bug &amp; Act. (Grouped)'!$1:$6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12" i="1"/>
  <c r="J14" i="1"/>
  <c r="J21" i="1" s="1"/>
  <c r="J25" i="1"/>
  <c r="J26" i="1"/>
  <c r="J31" i="1"/>
  <c r="J32" i="1"/>
  <c r="J33" i="1"/>
  <c r="J34" i="1"/>
  <c r="J35" i="1"/>
  <c r="J36" i="1"/>
  <c r="J37" i="1"/>
  <c r="J40" i="1"/>
  <c r="J41" i="1"/>
  <c r="J43" i="1"/>
  <c r="J45" i="1"/>
  <c r="J48" i="1"/>
  <c r="J49" i="1"/>
  <c r="J53" i="1"/>
  <c r="J54" i="1"/>
  <c r="J56" i="1"/>
  <c r="J60" i="1"/>
  <c r="J68" i="1" s="1"/>
  <c r="J62" i="1"/>
  <c r="J63" i="1"/>
  <c r="J65" i="1"/>
  <c r="J66" i="1"/>
  <c r="J67" i="1"/>
  <c r="J71" i="1"/>
  <c r="J72" i="1"/>
  <c r="J75" i="1" s="1"/>
  <c r="J73" i="1"/>
  <c r="J74" i="1"/>
  <c r="J77" i="1"/>
  <c r="J78" i="1"/>
  <c r="J82" i="1"/>
  <c r="J84" i="1"/>
  <c r="J86" i="1" s="1"/>
  <c r="J94" i="1" s="1"/>
  <c r="J85" i="1"/>
  <c r="J89" i="1"/>
  <c r="J90" i="1"/>
  <c r="J91" i="1"/>
  <c r="J92" i="1"/>
  <c r="J93" i="1"/>
  <c r="J97" i="1"/>
  <c r="J104" i="1" s="1"/>
  <c r="J98" i="1"/>
  <c r="J99" i="1"/>
  <c r="J107" i="1"/>
  <c r="J108" i="1"/>
  <c r="J111" i="1"/>
  <c r="J114" i="1"/>
  <c r="J117" i="1"/>
  <c r="G17" i="1"/>
  <c r="G18" i="1"/>
  <c r="G19" i="1"/>
  <c r="G20" i="1"/>
  <c r="G16" i="1"/>
  <c r="L119" i="1"/>
  <c r="I45" i="1"/>
  <c r="I49" i="1" s="1"/>
  <c r="I56" i="1"/>
  <c r="K114" i="1"/>
  <c r="K111" i="1"/>
  <c r="K108" i="1"/>
  <c r="K107" i="1"/>
  <c r="K99" i="1"/>
  <c r="K98" i="1"/>
  <c r="K97" i="1"/>
  <c r="L93" i="1"/>
  <c r="K93" i="1"/>
  <c r="E93" i="1"/>
  <c r="E119" i="1" s="1"/>
  <c r="D93" i="1"/>
  <c r="D119" i="1" s="1"/>
  <c r="K92" i="1"/>
  <c r="K91" i="1"/>
  <c r="K90" i="1"/>
  <c r="K89" i="1"/>
  <c r="K85" i="1"/>
  <c r="K84" i="1"/>
  <c r="K82" i="1"/>
  <c r="K78" i="1"/>
  <c r="K77" i="1"/>
  <c r="K74" i="1"/>
  <c r="K73" i="1"/>
  <c r="K72" i="1"/>
  <c r="K71" i="1"/>
  <c r="F68" i="1"/>
  <c r="K67" i="1"/>
  <c r="K66" i="1"/>
  <c r="K65" i="1"/>
  <c r="K63" i="1"/>
  <c r="N62" i="1"/>
  <c r="K62" i="1"/>
  <c r="K60" i="1"/>
  <c r="K56" i="1"/>
  <c r="N53" i="1"/>
  <c r="K53" i="1"/>
  <c r="K54" i="1" s="1"/>
  <c r="H53" i="1"/>
  <c r="H54" i="1" s="1"/>
  <c r="G53" i="1"/>
  <c r="G54" i="1" s="1"/>
  <c r="N52" i="1"/>
  <c r="K48" i="1"/>
  <c r="K45" i="1"/>
  <c r="K43" i="1"/>
  <c r="I43" i="1"/>
  <c r="H43" i="1"/>
  <c r="G43" i="1"/>
  <c r="F41" i="1"/>
  <c r="K40" i="1"/>
  <c r="I40" i="1"/>
  <c r="H40" i="1"/>
  <c r="G40" i="1"/>
  <c r="K37" i="1"/>
  <c r="I37" i="1"/>
  <c r="H37" i="1"/>
  <c r="G37" i="1"/>
  <c r="K36" i="1"/>
  <c r="I36" i="1"/>
  <c r="G36" i="1"/>
  <c r="K35" i="1"/>
  <c r="I35" i="1"/>
  <c r="H35" i="1"/>
  <c r="K34" i="1"/>
  <c r="I34" i="1"/>
  <c r="H34" i="1"/>
  <c r="G34" i="1"/>
  <c r="K33" i="1"/>
  <c r="I33" i="1"/>
  <c r="H33" i="1"/>
  <c r="G33" i="1"/>
  <c r="K32" i="1"/>
  <c r="I32" i="1"/>
  <c r="G32" i="1"/>
  <c r="K31" i="1"/>
  <c r="G31" i="1"/>
  <c r="K25" i="1"/>
  <c r="K26" i="1" s="1"/>
  <c r="E14" i="1"/>
  <c r="E21" i="1" s="1"/>
  <c r="D14" i="1"/>
  <c r="D21" i="1" s="1"/>
  <c r="K12" i="1"/>
  <c r="K11" i="1"/>
  <c r="I11" i="1"/>
  <c r="H11" i="1"/>
  <c r="G11" i="1"/>
  <c r="K10" i="1"/>
  <c r="I10" i="1"/>
  <c r="H10" i="1"/>
  <c r="H14" i="1" s="1"/>
  <c r="H21" i="1" s="1"/>
  <c r="G10" i="1"/>
  <c r="G14" i="1" s="1"/>
  <c r="J121" i="1" l="1"/>
  <c r="J123" i="1"/>
  <c r="J119" i="1"/>
  <c r="K49" i="1"/>
  <c r="G25" i="1"/>
  <c r="K117" i="1"/>
  <c r="K75" i="1"/>
  <c r="K86" i="1"/>
  <c r="K94" i="1" s="1"/>
  <c r="G21" i="1"/>
  <c r="K14" i="1"/>
  <c r="N14" i="1" s="1"/>
  <c r="K41" i="1"/>
  <c r="E123" i="1"/>
  <c r="H41" i="1"/>
  <c r="K68" i="1"/>
  <c r="K104" i="1"/>
  <c r="I14" i="1"/>
  <c r="I21" i="1" s="1"/>
  <c r="G41" i="1"/>
  <c r="I41" i="1"/>
  <c r="L21" i="1"/>
  <c r="D123" i="1"/>
  <c r="G45" i="1"/>
  <c r="G49" i="1" s="1"/>
  <c r="G56" i="1"/>
  <c r="N63" i="1"/>
  <c r="L14" i="1"/>
  <c r="H45" i="1"/>
  <c r="H49" i="1" s="1"/>
  <c r="I53" i="1"/>
  <c r="I54" i="1" s="1"/>
  <c r="H56" i="1"/>
  <c r="G26" i="1"/>
  <c r="K21" i="1" l="1"/>
  <c r="K119" i="1"/>
  <c r="K123" i="1" l="1"/>
  <c r="K121" i="1"/>
</calcChain>
</file>

<file path=xl/sharedStrings.xml><?xml version="1.0" encoding="utf-8"?>
<sst xmlns="http://schemas.openxmlformats.org/spreadsheetml/2006/main" count="200" uniqueCount="181">
  <si>
    <t>Community College Preparatory Academy</t>
  </si>
  <si>
    <t>FY17 BUDGET V.1</t>
  </si>
  <si>
    <t>Ref #</t>
  </si>
  <si>
    <t xml:space="preserve">
</t>
  </si>
  <si>
    <t>FY07 Budget</t>
  </si>
  <si>
    <t>FY07 Actual as of 5/4/07</t>
  </si>
  <si>
    <t xml:space="preserve">FY17 Budget </t>
  </si>
  <si>
    <t>%
Change</t>
  </si>
  <si>
    <t>Comments</t>
  </si>
  <si>
    <t>Revenues</t>
  </si>
  <si>
    <t>Budget to Revised</t>
  </si>
  <si>
    <t>MAIN</t>
  </si>
  <si>
    <t>GIBBS</t>
  </si>
  <si>
    <t>MC TERRELL</t>
  </si>
  <si>
    <t>4000 - Per Pupil Charter Revenue</t>
  </si>
  <si>
    <t>Based on 460 students</t>
  </si>
  <si>
    <t>Based on 475 students</t>
  </si>
  <si>
    <t>4001</t>
  </si>
  <si>
    <t>Base Per Pupil Allocation</t>
  </si>
  <si>
    <t>4002</t>
  </si>
  <si>
    <t>Per Pupil Rev.--Facility Alloc</t>
  </si>
  <si>
    <t>4003</t>
  </si>
  <si>
    <t>Per Pupil Rev.--Summer School</t>
  </si>
  <si>
    <t>4100</t>
  </si>
  <si>
    <t>Per Pupil Rev.--Special Education</t>
  </si>
  <si>
    <t/>
  </si>
  <si>
    <t>Total Per Pupil Charter Revenue</t>
  </si>
  <si>
    <t xml:space="preserve">4230 </t>
  </si>
  <si>
    <t>Private Grants &amp; Donations</t>
  </si>
  <si>
    <t>4800</t>
  </si>
  <si>
    <t>Misc. Income</t>
  </si>
  <si>
    <t>4300</t>
  </si>
  <si>
    <t>In-Kind Donations</t>
  </si>
  <si>
    <t>4999</t>
  </si>
  <si>
    <t>Grants</t>
  </si>
  <si>
    <t>4210</t>
  </si>
  <si>
    <t>Other Government Funding - CTE Grant</t>
  </si>
  <si>
    <t>Total Revenues</t>
  </si>
  <si>
    <t>Expenses</t>
  </si>
  <si>
    <t>2260</t>
  </si>
  <si>
    <t>Loan Payable</t>
  </si>
  <si>
    <t>Total -  2260 Loan Payable</t>
  </si>
  <si>
    <t>5000 - Salaries</t>
  </si>
  <si>
    <t xml:space="preserve">   5001</t>
  </si>
  <si>
    <t>Principal &amp; Exec. Dir Salaries</t>
  </si>
  <si>
    <t xml:space="preserve"> </t>
  </si>
  <si>
    <t xml:space="preserve">   5002</t>
  </si>
  <si>
    <t>Other Support Staff</t>
  </si>
  <si>
    <t xml:space="preserve">   5004</t>
  </si>
  <si>
    <t>Student Success Specialists</t>
  </si>
  <si>
    <t xml:space="preserve">   5005</t>
  </si>
  <si>
    <t>Learning Lab Managers</t>
  </si>
  <si>
    <t xml:space="preserve">   5006</t>
  </si>
  <si>
    <t>Support Staff</t>
  </si>
  <si>
    <t xml:space="preserve">   5007</t>
  </si>
  <si>
    <t>Business/Operations</t>
  </si>
  <si>
    <t xml:space="preserve">   5008</t>
  </si>
  <si>
    <t>Adminstrative Assistant</t>
  </si>
  <si>
    <t xml:space="preserve">   5009</t>
  </si>
  <si>
    <t>Custodial Salaries</t>
  </si>
  <si>
    <t xml:space="preserve">   5010</t>
  </si>
  <si>
    <t>Other Staff Salaries</t>
  </si>
  <si>
    <t xml:space="preserve">   5012</t>
  </si>
  <si>
    <t>Interns</t>
  </si>
  <si>
    <t>Total -  5000 Salaries</t>
  </si>
  <si>
    <t>5100 -  Payroll Taxes</t>
  </si>
  <si>
    <t>5200 - Employee Benefits</t>
  </si>
  <si>
    <t xml:space="preserve">   5200</t>
  </si>
  <si>
    <t>Fringe Benefits - Other</t>
  </si>
  <si>
    <t xml:space="preserve">   5201</t>
  </si>
  <si>
    <t>Fringe Benefits - Worker's Comp</t>
  </si>
  <si>
    <t xml:space="preserve">   5202</t>
  </si>
  <si>
    <t>Fringe Benefits - DeMinimus</t>
  </si>
  <si>
    <t xml:space="preserve">   5203</t>
  </si>
  <si>
    <t>Fringe Benefits - Retirement</t>
  </si>
  <si>
    <t>Total -  5200 Employee Benefits</t>
  </si>
  <si>
    <t>5300 - Other Personnel Expenses</t>
  </si>
  <si>
    <t xml:space="preserve">   5300</t>
  </si>
  <si>
    <t>Other Personnel Expenses</t>
  </si>
  <si>
    <t xml:space="preserve">   5301</t>
  </si>
  <si>
    <t>Staff Development Costs</t>
  </si>
  <si>
    <t>Total 5300 - Other Personnel Expenses</t>
  </si>
  <si>
    <t>5400 - Contractors</t>
  </si>
  <si>
    <t>6100 - Direct Student Expenses</t>
  </si>
  <si>
    <t xml:space="preserve">   6100</t>
  </si>
  <si>
    <t>Direct Student Expenses - Other</t>
  </si>
  <si>
    <t xml:space="preserve">   6101</t>
  </si>
  <si>
    <t>Computers and Materials</t>
  </si>
  <si>
    <t xml:space="preserve">   6102</t>
  </si>
  <si>
    <t>Classroom Furnishings &amp; Supplies</t>
  </si>
  <si>
    <t xml:space="preserve">   6103</t>
  </si>
  <si>
    <t>Student Assessment Materials</t>
  </si>
  <si>
    <t xml:space="preserve">   6104</t>
  </si>
  <si>
    <t>Contracted Student Service</t>
  </si>
  <si>
    <t xml:space="preserve">   6105</t>
  </si>
  <si>
    <t>Miscellaneous Student Cost</t>
  </si>
  <si>
    <t xml:space="preserve">   6106 </t>
  </si>
  <si>
    <t>Textbooks</t>
  </si>
  <si>
    <t xml:space="preserve">   6107</t>
  </si>
  <si>
    <t>Student Supplies &amp; Materials</t>
  </si>
  <si>
    <t xml:space="preserve">   6108</t>
  </si>
  <si>
    <t>Library &amp;  Media Ctr Materials</t>
  </si>
  <si>
    <t>Total 6100 - Direct Student Expenses</t>
  </si>
  <si>
    <t>6200 - Occupancy Expenses</t>
  </si>
  <si>
    <t xml:space="preserve">   6201</t>
  </si>
  <si>
    <t>Utilities</t>
  </si>
  <si>
    <t xml:space="preserve">   6202</t>
  </si>
  <si>
    <t>Building Maintenance &amp; Repairs</t>
  </si>
  <si>
    <t xml:space="preserve">   6203</t>
  </si>
  <si>
    <t>Contracted Building Services</t>
  </si>
  <si>
    <t xml:space="preserve">   6204</t>
  </si>
  <si>
    <t>Janitorial Supplies</t>
  </si>
  <si>
    <t>Total 6200 - Occupancy Expenses</t>
  </si>
  <si>
    <t>6210 - Rent</t>
  </si>
  <si>
    <t>6290 - Depreciation</t>
  </si>
  <si>
    <t>6300 - Office Expenses</t>
  </si>
  <si>
    <t xml:space="preserve">   6300</t>
  </si>
  <si>
    <t>Office Supplies - Other</t>
  </si>
  <si>
    <t xml:space="preserve">   6301</t>
  </si>
  <si>
    <t>Office Supplies &amp; Materials</t>
  </si>
  <si>
    <t xml:space="preserve">   6302</t>
  </si>
  <si>
    <t>Office Furnishings &amp; Equipment</t>
  </si>
  <si>
    <t xml:space="preserve">     63022</t>
  </si>
  <si>
    <t xml:space="preserve">   Office Computers</t>
  </si>
  <si>
    <t xml:space="preserve">     6302</t>
  </si>
  <si>
    <t xml:space="preserve">   Office Furnishings &amp; Equip - Other</t>
  </si>
  <si>
    <t>Total 6302 - Office Furnishings &amp; Equip</t>
  </si>
  <si>
    <t xml:space="preserve">   6303</t>
  </si>
  <si>
    <t>Office Equipment Rental &amp; Maintenance</t>
  </si>
  <si>
    <t xml:space="preserve">   6304</t>
  </si>
  <si>
    <t>Telephone/Telecommunications</t>
  </si>
  <si>
    <t xml:space="preserve">   6305</t>
  </si>
  <si>
    <t xml:space="preserve">Printing and Copying </t>
  </si>
  <si>
    <t xml:space="preserve">   6306</t>
  </si>
  <si>
    <t>Postage and Shipping</t>
  </si>
  <si>
    <t xml:space="preserve">   6307</t>
  </si>
  <si>
    <t>Equipment Rental &amp; Maintenance</t>
  </si>
  <si>
    <t xml:space="preserve">   6308</t>
  </si>
  <si>
    <t>Other</t>
  </si>
  <si>
    <t>Total 6300 - Office Expenses</t>
  </si>
  <si>
    <t>6400 - Professional Fees</t>
  </si>
  <si>
    <t xml:space="preserve">   6401</t>
  </si>
  <si>
    <t>Legal, Accounting &amp; Payroll</t>
  </si>
  <si>
    <t xml:space="preserve">   6402</t>
  </si>
  <si>
    <t>IT Fees</t>
  </si>
  <si>
    <t xml:space="preserve">   6403</t>
  </si>
  <si>
    <t>Membership Fees</t>
  </si>
  <si>
    <t xml:space="preserve">   6404</t>
  </si>
  <si>
    <t>Start Up Fees</t>
  </si>
  <si>
    <t xml:space="preserve">   6405</t>
  </si>
  <si>
    <t>Advertising</t>
  </si>
  <si>
    <t xml:space="preserve">   6406</t>
  </si>
  <si>
    <t>Tuition Reimbursement</t>
  </si>
  <si>
    <t xml:space="preserve">   6400</t>
  </si>
  <si>
    <t>Professional Fees - Other</t>
  </si>
  <si>
    <t>Total 6400 - Professional Fees</t>
  </si>
  <si>
    <t>6500 - General Expense</t>
  </si>
  <si>
    <t xml:space="preserve">   6501</t>
  </si>
  <si>
    <t>Insurance</t>
  </si>
  <si>
    <t xml:space="preserve">   6502</t>
  </si>
  <si>
    <t>Interest Expense</t>
  </si>
  <si>
    <t xml:space="preserve">   6503</t>
  </si>
  <si>
    <t>Transportation</t>
  </si>
  <si>
    <t xml:space="preserve">   6504</t>
  </si>
  <si>
    <t>Food Service</t>
  </si>
  <si>
    <t xml:space="preserve">   6505</t>
  </si>
  <si>
    <t>Administration Fee to PCSB</t>
  </si>
  <si>
    <t xml:space="preserve">   6506</t>
  </si>
  <si>
    <t>Other General Expense</t>
  </si>
  <si>
    <t xml:space="preserve">   6507</t>
  </si>
  <si>
    <t>EMO Management Fee</t>
  </si>
  <si>
    <t xml:space="preserve">   6508</t>
  </si>
  <si>
    <t>Recruitement</t>
  </si>
  <si>
    <t xml:space="preserve">   6509 </t>
  </si>
  <si>
    <t>Bank Service Fee</t>
  </si>
  <si>
    <t xml:space="preserve">   6510</t>
  </si>
  <si>
    <t>Fundraising</t>
  </si>
  <si>
    <t>Total 6500 - General Expense</t>
  </si>
  <si>
    <t>6600 - Web Design</t>
  </si>
  <si>
    <t>Total Expenses</t>
  </si>
  <si>
    <t>Change in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</si>
</sst>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* #,##0.00;\(&quot;$&quot;* #,##0.00\)"/>
    <numFmt numFmtId="165" formatCode="#,##0.00;\(#,##0.00\)"/>
    <numFmt numFmtId="166" formatCode="_(* #,##0_);_(* \(#,##0\);_(* &quot;-&quot;??_);_(@_)"/>
    <numFmt numFmtId="167" formatCode="0.0%"/>
  </numFmts>
  <fonts count="21" x14ac:knownFonts="1">
    <font>
      <sz val="10"/>
      <name val="Arial"/>
    </font>
    <font>
      <sz val="10"/>
      <name val="Arial"/>
    </font>
    <font>
      <b/>
      <sz val="1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8"/>
      <name val="Times New Roman"/>
      <family val="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20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Gill Sans Ultra Bold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1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49" fontId="4" fillId="0" borderId="0" xfId="0" applyNumberFormat="1" applyFont="1" applyAlignment="1"/>
    <xf numFmtId="0" fontId="5" fillId="0" borderId="0" xfId="0" applyFont="1"/>
    <xf numFmtId="49" fontId="3" fillId="0" borderId="0" xfId="0" applyNumberFormat="1" applyFont="1" applyFill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Alignment="1"/>
    <xf numFmtId="49" fontId="7" fillId="0" borderId="0" xfId="0" applyNumberFormat="1" applyFont="1" applyAlignment="1"/>
    <xf numFmtId="49" fontId="8" fillId="0" borderId="0" xfId="0" applyNumberFormat="1" applyFont="1" applyAlignment="1"/>
    <xf numFmtId="49" fontId="8" fillId="0" borderId="0" xfId="0" applyNumberFormat="1" applyFont="1" applyFill="1" applyAlignment="1"/>
    <xf numFmtId="49" fontId="8" fillId="2" borderId="0" xfId="0" applyNumberFormat="1" applyFont="1" applyFill="1" applyAlignment="1"/>
    <xf numFmtId="49" fontId="8" fillId="0" borderId="0" xfId="0" applyNumberFormat="1" applyFont="1" applyFill="1" applyAlignment="1">
      <alignment horizontal="right"/>
    </xf>
    <xf numFmtId="49" fontId="9" fillId="0" borderId="0" xfId="0" applyNumberFormat="1" applyFont="1" applyAlignment="1"/>
    <xf numFmtId="49" fontId="10" fillId="0" borderId="0" xfId="0" applyNumberFormat="1" applyFont="1" applyAlignment="1"/>
    <xf numFmtId="49" fontId="11" fillId="0" borderId="0" xfId="0" applyNumberFormat="1" applyFont="1" applyAlignment="1"/>
    <xf numFmtId="0" fontId="12" fillId="0" borderId="0" xfId="0" applyFont="1"/>
    <xf numFmtId="49" fontId="13" fillId="0" borderId="0" xfId="0" applyNumberFormat="1" applyFont="1" applyAlignment="1">
      <alignment horizontal="left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4" fontId="14" fillId="2" borderId="0" xfId="0" applyNumberFormat="1" applyFont="1" applyFill="1" applyAlignment="1">
      <alignment horizontal="center" wrapText="1"/>
    </xf>
    <xf numFmtId="4" fontId="15" fillId="0" borderId="1" xfId="0" applyNumberFormat="1" applyFont="1" applyFill="1" applyBorder="1" applyAlignment="1">
      <alignment horizontal="center" wrapText="1"/>
    </xf>
    <xf numFmtId="4" fontId="15" fillId="0" borderId="2" xfId="0" applyNumberFormat="1" applyFont="1" applyFill="1" applyBorder="1" applyAlignment="1">
      <alignment horizontal="center" wrapText="1"/>
    </xf>
    <xf numFmtId="4" fontId="15" fillId="0" borderId="3" xfId="0" applyNumberFormat="1" applyFont="1" applyFill="1" applyBorder="1" applyAlignment="1">
      <alignment horizontal="center" wrapText="1"/>
    </xf>
    <xf numFmtId="1" fontId="5" fillId="0" borderId="0" xfId="0" applyNumberFormat="1" applyFont="1" applyFill="1" applyAlignment="1">
      <alignment horizontal="center" wrapText="1"/>
    </xf>
    <xf numFmtId="1" fontId="13" fillId="0" borderId="0" xfId="0" applyNumberFormat="1" applyFont="1" applyFill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/>
    <xf numFmtId="49" fontId="17" fillId="0" borderId="0" xfId="0" applyNumberFormat="1" applyFont="1" applyAlignment="1">
      <alignment horizontal="left"/>
    </xf>
    <xf numFmtId="0" fontId="14" fillId="0" borderId="0" xfId="0" applyFont="1" applyFill="1"/>
    <xf numFmtId="0" fontId="14" fillId="0" borderId="0" xfId="0" applyFont="1"/>
    <xf numFmtId="4" fontId="14" fillId="2" borderId="0" xfId="0" applyNumberFormat="1" applyFont="1" applyFill="1" applyAlignment="1">
      <alignment horizontal="center"/>
    </xf>
    <xf numFmtId="4" fontId="14" fillId="2" borderId="0" xfId="0" applyNumberFormat="1" applyFont="1" applyFill="1"/>
    <xf numFmtId="4" fontId="14" fillId="0" borderId="4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center"/>
    </xf>
    <xf numFmtId="4" fontId="14" fillId="0" borderId="5" xfId="0" applyNumberFormat="1" applyFont="1" applyFill="1" applyBorder="1" applyAlignment="1">
      <alignment horizontal="center"/>
    </xf>
    <xf numFmtId="1" fontId="5" fillId="0" borderId="0" xfId="0" applyNumberFormat="1" applyFont="1"/>
    <xf numFmtId="1" fontId="14" fillId="0" borderId="0" xfId="0" applyNumberFormat="1" applyFont="1"/>
    <xf numFmtId="0" fontId="13" fillId="0" borderId="0" xfId="0" applyFont="1"/>
    <xf numFmtId="0" fontId="16" fillId="0" borderId="0" xfId="0" applyFont="1"/>
    <xf numFmtId="49" fontId="14" fillId="0" borderId="0" xfId="0" applyNumberFormat="1" applyFont="1" applyAlignment="1">
      <alignment horizontal="left"/>
    </xf>
    <xf numFmtId="4" fontId="14" fillId="0" borderId="6" xfId="0" applyNumberFormat="1" applyFont="1" applyFill="1" applyBorder="1" applyAlignment="1">
      <alignment horizontal="center"/>
    </xf>
    <xf numFmtId="4" fontId="14" fillId="0" borderId="0" xfId="0" applyNumberFormat="1" applyFont="1" applyFill="1" applyBorder="1"/>
    <xf numFmtId="4" fontId="14" fillId="0" borderId="5" xfId="0" applyNumberFormat="1" applyFont="1" applyFill="1" applyBorder="1"/>
    <xf numFmtId="10" fontId="12" fillId="0" borderId="0" xfId="0" applyNumberFormat="1" applyFont="1"/>
    <xf numFmtId="10" fontId="14" fillId="0" borderId="0" xfId="0" applyNumberFormat="1" applyFont="1"/>
    <xf numFmtId="4" fontId="14" fillId="0" borderId="6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Fill="1" applyAlignment="1">
      <alignment horizontal="left"/>
    </xf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Fill="1" applyAlignment="1">
      <alignment horizontal="right"/>
    </xf>
    <xf numFmtId="4" fontId="5" fillId="2" borderId="0" xfId="1" applyNumberFormat="1" applyFont="1" applyFill="1"/>
    <xf numFmtId="4" fontId="5" fillId="0" borderId="0" xfId="1" applyNumberFormat="1" applyFont="1" applyFill="1" applyAlignment="1">
      <alignment horizontal="right"/>
    </xf>
    <xf numFmtId="4" fontId="5" fillId="0" borderId="0" xfId="1" applyNumberFormat="1" applyFont="1" applyFill="1"/>
    <xf numFmtId="10" fontId="5" fillId="0" borderId="0" xfId="1" applyNumberFormat="1" applyFont="1"/>
    <xf numFmtId="0" fontId="18" fillId="0" borderId="0" xfId="0" applyFont="1"/>
    <xf numFmtId="165" fontId="13" fillId="0" borderId="0" xfId="0" applyNumberFormat="1" applyFont="1" applyAlignment="1">
      <alignment horizontal="right"/>
    </xf>
    <xf numFmtId="165" fontId="13" fillId="0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3" fillId="0" borderId="0" xfId="0" applyNumberFormat="1" applyFont="1" applyFill="1" applyAlignment="1">
      <alignment horizontal="right"/>
    </xf>
    <xf numFmtId="4" fontId="13" fillId="0" borderId="0" xfId="0" applyNumberFormat="1" applyFont="1" applyFill="1"/>
    <xf numFmtId="10" fontId="5" fillId="0" borderId="0" xfId="0" applyNumberFormat="1" applyFont="1"/>
    <xf numFmtId="10" fontId="13" fillId="0" borderId="0" xfId="0" applyNumberFormat="1" applyFont="1"/>
    <xf numFmtId="4" fontId="13" fillId="2" borderId="0" xfId="0" applyNumberFormat="1" applyFont="1" applyFill="1" applyBorder="1"/>
    <xf numFmtId="4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/>
    <xf numFmtId="10" fontId="5" fillId="0" borderId="0" xfId="0" applyNumberFormat="1" applyFont="1" applyBorder="1"/>
    <xf numFmtId="10" fontId="13" fillId="0" borderId="0" xfId="0" applyNumberFormat="1" applyFont="1" applyBorder="1"/>
    <xf numFmtId="4" fontId="13" fillId="2" borderId="7" xfId="0" applyNumberFormat="1" applyFont="1" applyFill="1" applyBorder="1"/>
    <xf numFmtId="4" fontId="13" fillId="0" borderId="7" xfId="0" applyNumberFormat="1" applyFont="1" applyFill="1" applyBorder="1" applyAlignment="1">
      <alignment horizontal="right"/>
    </xf>
    <xf numFmtId="4" fontId="13" fillId="0" borderId="7" xfId="0" applyNumberFormat="1" applyFont="1" applyFill="1" applyBorder="1"/>
    <xf numFmtId="49" fontId="14" fillId="0" borderId="0" xfId="0" applyNumberFormat="1" applyFont="1" applyFill="1" applyAlignment="1">
      <alignment horizontal="left"/>
    </xf>
    <xf numFmtId="165" fontId="14" fillId="0" borderId="0" xfId="0" applyNumberFormat="1" applyFont="1" applyAlignment="1">
      <alignment horizontal="right"/>
    </xf>
    <xf numFmtId="165" fontId="14" fillId="0" borderId="0" xfId="0" applyNumberFormat="1" applyFont="1" applyFill="1" applyAlignment="1">
      <alignment horizontal="right"/>
    </xf>
    <xf numFmtId="4" fontId="14" fillId="0" borderId="0" xfId="0" applyNumberFormat="1" applyFont="1" applyFill="1" applyAlignment="1">
      <alignment horizontal="right"/>
    </xf>
    <xf numFmtId="4" fontId="14" fillId="0" borderId="0" xfId="0" applyNumberFormat="1" applyFont="1" applyFill="1"/>
    <xf numFmtId="4" fontId="13" fillId="0" borderId="0" xfId="0" applyNumberFormat="1" applyFont="1" applyAlignment="1"/>
    <xf numFmtId="0" fontId="16" fillId="0" borderId="0" xfId="0" applyFont="1" applyAlignment="1"/>
    <xf numFmtId="49" fontId="13" fillId="0" borderId="0" xfId="0" applyNumberFormat="1" applyFont="1" applyAlignment="1">
      <alignment horizontal="center"/>
    </xf>
    <xf numFmtId="0" fontId="13" fillId="0" borderId="0" xfId="0" applyFont="1" applyFill="1"/>
    <xf numFmtId="49" fontId="5" fillId="0" borderId="0" xfId="0" applyNumberFormat="1" applyFont="1" applyFill="1" applyAlignment="1">
      <alignment horizontal="left"/>
    </xf>
    <xf numFmtId="4" fontId="5" fillId="2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5" fillId="0" borderId="0" xfId="0" applyNumberFormat="1" applyFont="1" applyFill="1"/>
    <xf numFmtId="0" fontId="13" fillId="0" borderId="0" xfId="0" applyFont="1" applyAlignment="1"/>
    <xf numFmtId="4" fontId="14" fillId="2" borderId="8" xfId="0" applyNumberFormat="1" applyFont="1" applyFill="1" applyBorder="1" applyAlignment="1">
      <alignment horizontal="right"/>
    </xf>
    <xf numFmtId="4" fontId="14" fillId="0" borderId="8" xfId="0" applyNumberFormat="1" applyFont="1" applyFill="1" applyBorder="1" applyAlignment="1">
      <alignment horizontal="right"/>
    </xf>
    <xf numFmtId="10" fontId="19" fillId="0" borderId="0" xfId="0" applyNumberFormat="1" applyFont="1"/>
    <xf numFmtId="4" fontId="13" fillId="0" borderId="0" xfId="0" applyNumberFormat="1" applyFont="1"/>
    <xf numFmtId="49" fontId="5" fillId="0" borderId="0" xfId="0" applyNumberFormat="1" applyFont="1" applyAlignment="1">
      <alignment horizontal="left"/>
    </xf>
    <xf numFmtId="165" fontId="5" fillId="0" borderId="9" xfId="0" applyNumberFormat="1" applyFont="1" applyBorder="1" applyAlignment="1">
      <alignment horizontal="right"/>
    </xf>
    <xf numFmtId="165" fontId="5" fillId="0" borderId="9" xfId="0" applyNumberFormat="1" applyFont="1" applyFill="1" applyBorder="1" applyAlignment="1">
      <alignment horizontal="right"/>
    </xf>
    <xf numFmtId="49" fontId="14" fillId="3" borderId="0" xfId="0" applyNumberFormat="1" applyFont="1" applyFill="1" applyAlignment="1">
      <alignment horizontal="left"/>
    </xf>
    <xf numFmtId="0" fontId="13" fillId="3" borderId="0" xfId="0" applyFont="1" applyFill="1"/>
    <xf numFmtId="4" fontId="13" fillId="3" borderId="0" xfId="0" applyNumberFormat="1" applyFont="1" applyFill="1"/>
    <xf numFmtId="4" fontId="14" fillId="3" borderId="0" xfId="0" applyNumberFormat="1" applyFont="1" applyFill="1" applyAlignment="1">
      <alignment horizontal="right"/>
    </xf>
    <xf numFmtId="4" fontId="13" fillId="3" borderId="0" xfId="0" applyNumberFormat="1" applyFont="1" applyFill="1" applyAlignment="1">
      <alignment horizontal="right"/>
    </xf>
    <xf numFmtId="4" fontId="14" fillId="3" borderId="0" xfId="0" applyNumberFormat="1" applyFont="1" applyFill="1"/>
    <xf numFmtId="166" fontId="0" fillId="0" borderId="0" xfId="1" applyNumberFormat="1" applyFont="1"/>
    <xf numFmtId="4" fontId="5" fillId="2" borderId="7" xfId="0" applyNumberFormat="1" applyFont="1" applyFill="1" applyBorder="1"/>
    <xf numFmtId="4" fontId="5" fillId="0" borderId="7" xfId="0" applyNumberFormat="1" applyFont="1" applyFill="1" applyBorder="1" applyAlignment="1">
      <alignment horizontal="right"/>
    </xf>
    <xf numFmtId="4" fontId="5" fillId="0" borderId="7" xfId="0" applyNumberFormat="1" applyFont="1" applyFill="1" applyBorder="1"/>
    <xf numFmtId="1" fontId="5" fillId="0" borderId="0" xfId="0" applyNumberFormat="1" applyFont="1" applyBorder="1"/>
    <xf numFmtId="0" fontId="20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Fill="1"/>
    <xf numFmtId="4" fontId="14" fillId="2" borderId="7" xfId="0" applyNumberFormat="1" applyFont="1" applyFill="1" applyBorder="1"/>
    <xf numFmtId="4" fontId="14" fillId="0" borderId="7" xfId="0" applyNumberFormat="1" applyFont="1" applyFill="1" applyBorder="1" applyAlignment="1">
      <alignment horizontal="right"/>
    </xf>
    <xf numFmtId="10" fontId="13" fillId="0" borderId="0" xfId="0" applyNumberFormat="1" applyFont="1" applyAlignment="1">
      <alignment horizontal="left"/>
    </xf>
    <xf numFmtId="167" fontId="13" fillId="0" borderId="0" xfId="2" applyNumberFormat="1" applyFont="1" applyAlignment="1">
      <alignment horizontal="left"/>
    </xf>
    <xf numFmtId="4" fontId="12" fillId="0" borderId="0" xfId="0" applyNumberFormat="1" applyFont="1" applyFill="1" applyAlignment="1">
      <alignment horizontal="right"/>
    </xf>
    <xf numFmtId="0" fontId="14" fillId="0" borderId="0" xfId="0" applyFont="1" applyFill="1" applyAlignment="1"/>
    <xf numFmtId="0" fontId="16" fillId="0" borderId="0" xfId="0" applyFont="1" applyFill="1" applyAlignment="1">
      <alignment horizontal="left"/>
    </xf>
    <xf numFmtId="10" fontId="13" fillId="0" borderId="0" xfId="0" applyNumberFormat="1" applyFont="1" applyFill="1" applyAlignment="1">
      <alignment horizontal="left"/>
    </xf>
    <xf numFmtId="167" fontId="13" fillId="0" borderId="0" xfId="2" applyNumberFormat="1" applyFont="1" applyFill="1" applyAlignment="1">
      <alignment horizontal="left"/>
    </xf>
    <xf numFmtId="0" fontId="13" fillId="0" borderId="0" xfId="0" applyFont="1" applyFill="1" applyAlignment="1"/>
    <xf numFmtId="0" fontId="16" fillId="0" borderId="0" xfId="0" applyFont="1" applyFill="1" applyAlignment="1"/>
    <xf numFmtId="4" fontId="12" fillId="0" borderId="0" xfId="0" applyNumberFormat="1" applyFont="1"/>
    <xf numFmtId="4" fontId="12" fillId="0" borderId="0" xfId="0" applyNumberFormat="1" applyFont="1" applyFill="1"/>
    <xf numFmtId="0" fontId="16" fillId="0" borderId="0" xfId="0" applyFont="1" applyAlignment="1">
      <alignment wrapText="1"/>
    </xf>
    <xf numFmtId="10" fontId="5" fillId="0" borderId="0" xfId="0" applyNumberFormat="1" applyFont="1" applyFill="1"/>
    <xf numFmtId="10" fontId="13" fillId="0" borderId="0" xfId="0" applyNumberFormat="1" applyFont="1" applyFill="1"/>
    <xf numFmtId="0" fontId="13" fillId="0" borderId="0" xfId="0" applyFont="1" applyAlignment="1">
      <alignment horizontal="left" wrapText="1"/>
    </xf>
    <xf numFmtId="4" fontId="5" fillId="2" borderId="0" xfId="0" applyNumberFormat="1" applyFont="1" applyFill="1" applyBorder="1"/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/>
    <xf numFmtId="4" fontId="14" fillId="2" borderId="0" xfId="0" applyNumberFormat="1" applyFont="1" applyFill="1" applyBorder="1"/>
    <xf numFmtId="4" fontId="12" fillId="2" borderId="0" xfId="0" applyNumberFormat="1" applyFont="1" applyFill="1"/>
    <xf numFmtId="0" fontId="12" fillId="0" borderId="0" xfId="0" applyFont="1" applyFill="1"/>
    <xf numFmtId="10" fontId="12" fillId="0" borderId="0" xfId="0" applyNumberFormat="1" applyFont="1" applyFill="1"/>
    <xf numFmtId="10" fontId="14" fillId="0" borderId="0" xfId="0" applyNumberFormat="1" applyFont="1" applyFill="1"/>
    <xf numFmtId="0" fontId="5" fillId="0" borderId="0" xfId="0" applyFont="1" applyFill="1"/>
    <xf numFmtId="49" fontId="12" fillId="0" borderId="0" xfId="0" applyNumberFormat="1" applyFont="1" applyFill="1" applyAlignment="1">
      <alignment horizontal="left"/>
    </xf>
    <xf numFmtId="165" fontId="12" fillId="0" borderId="9" xfId="0" applyNumberFormat="1" applyFont="1" applyBorder="1" applyAlignment="1">
      <alignment horizontal="right"/>
    </xf>
    <xf numFmtId="165" fontId="12" fillId="0" borderId="9" xfId="0" applyNumberFormat="1" applyFont="1" applyFill="1" applyBorder="1" applyAlignment="1">
      <alignment horizontal="right"/>
    </xf>
    <xf numFmtId="4" fontId="5" fillId="0" borderId="0" xfId="0" applyNumberFormat="1" applyFont="1"/>
    <xf numFmtId="4" fontId="14" fillId="2" borderId="0" xfId="0" applyNumberFormat="1" applyFont="1" applyFill="1" applyAlignment="1">
      <alignment horizontal="right"/>
    </xf>
    <xf numFmtId="49" fontId="12" fillId="0" borderId="0" xfId="0" applyNumberFormat="1" applyFont="1" applyAlignment="1">
      <alignment horizontal="left"/>
    </xf>
    <xf numFmtId="165" fontId="12" fillId="0" borderId="0" xfId="0" applyNumberFormat="1" applyFont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4" fontId="12" fillId="2" borderId="0" xfId="0" applyNumberFormat="1" applyFont="1" applyFill="1" applyBorder="1"/>
    <xf numFmtId="4" fontId="12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/>
    <xf numFmtId="164" fontId="14" fillId="0" borderId="7" xfId="0" applyNumberFormat="1" applyFont="1" applyBorder="1" applyAlignment="1">
      <alignment horizontal="right"/>
    </xf>
    <xf numFmtId="164" fontId="14" fillId="0" borderId="7" xfId="0" applyNumberFormat="1" applyFont="1" applyFill="1" applyBorder="1" applyAlignment="1">
      <alignment horizontal="right"/>
    </xf>
    <xf numFmtId="39" fontId="14" fillId="2" borderId="0" xfId="0" applyNumberFormat="1" applyFont="1" applyFill="1" applyBorder="1" applyAlignment="1">
      <alignment horizontal="right"/>
    </xf>
    <xf numFmtId="39" fontId="14" fillId="0" borderId="0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0" xfId="0" applyNumberFormat="1" applyFont="1" applyFill="1" applyAlignment="1">
      <alignment horizontal="right"/>
    </xf>
    <xf numFmtId="4" fontId="14" fillId="2" borderId="0" xfId="0" applyNumberFormat="1" applyFont="1" applyFill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/>
    <xf numFmtId="4" fontId="14" fillId="0" borderId="0" xfId="0" applyNumberFormat="1" applyFont="1"/>
    <xf numFmtId="1" fontId="1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ica\Dropbox\CommunityCollegePrep\FY2017\Budget\FY17BudgetWORKBOOK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5 System Total1"/>
      <sheetName val="Total Yr Bug &amp; Act. (Grouped)"/>
      <sheetName val="OtherPersonnel"/>
      <sheetName val="Direct Student"/>
      <sheetName val="comp &amp; ben fy17"/>
      <sheetName val="PP revenue fy17"/>
      <sheetName val="Occupancy"/>
      <sheetName val="Capital"/>
      <sheetName val="debt and banking fy16"/>
      <sheetName val="ProfessionalFees"/>
      <sheetName val="Leases"/>
      <sheetName val="Office "/>
      <sheetName val="Outreach"/>
    </sheetNames>
    <sheetDataSet>
      <sheetData sheetId="0"/>
      <sheetData sheetId="1"/>
      <sheetData sheetId="2">
        <row r="7">
          <cell r="H7">
            <v>42000</v>
          </cell>
        </row>
        <row r="14">
          <cell r="H14">
            <v>53000</v>
          </cell>
        </row>
      </sheetData>
      <sheetData sheetId="3">
        <row r="9">
          <cell r="K9">
            <v>37500</v>
          </cell>
        </row>
        <row r="15">
          <cell r="K15">
            <v>27500</v>
          </cell>
        </row>
        <row r="18">
          <cell r="K18">
            <v>175000</v>
          </cell>
        </row>
      </sheetData>
      <sheetData sheetId="4">
        <row r="8">
          <cell r="J8">
            <v>223684</v>
          </cell>
        </row>
        <row r="10">
          <cell r="J10">
            <v>108515</v>
          </cell>
        </row>
        <row r="11">
          <cell r="J11">
            <v>117476</v>
          </cell>
        </row>
        <row r="12">
          <cell r="J12">
            <v>33418</v>
          </cell>
        </row>
        <row r="13">
          <cell r="J13">
            <v>30000</v>
          </cell>
        </row>
        <row r="14">
          <cell r="J14">
            <v>289409</v>
          </cell>
        </row>
        <row r="16">
          <cell r="J16">
            <v>30900</v>
          </cell>
        </row>
        <row r="17">
          <cell r="J17">
            <v>42230</v>
          </cell>
        </row>
        <row r="18">
          <cell r="J18">
            <v>58381</v>
          </cell>
        </row>
        <row r="19">
          <cell r="J19">
            <v>42000</v>
          </cell>
        </row>
        <row r="20">
          <cell r="J20">
            <v>32000</v>
          </cell>
        </row>
        <row r="21">
          <cell r="J21">
            <v>31200</v>
          </cell>
        </row>
        <row r="22">
          <cell r="J22">
            <v>55000</v>
          </cell>
        </row>
        <row r="23">
          <cell r="J23">
            <v>291711</v>
          </cell>
        </row>
        <row r="25">
          <cell r="J25">
            <v>10400</v>
          </cell>
        </row>
        <row r="26">
          <cell r="J26">
            <v>10400</v>
          </cell>
        </row>
        <row r="27">
          <cell r="J27">
            <v>10400</v>
          </cell>
        </row>
        <row r="28">
          <cell r="J28">
            <v>10400</v>
          </cell>
        </row>
        <row r="29">
          <cell r="J29">
            <v>10400</v>
          </cell>
        </row>
        <row r="30">
          <cell r="J30">
            <v>52000</v>
          </cell>
        </row>
        <row r="32">
          <cell r="J32">
            <v>76950</v>
          </cell>
        </row>
        <row r="33">
          <cell r="J33">
            <v>58350</v>
          </cell>
        </row>
        <row r="34">
          <cell r="J34">
            <v>63387</v>
          </cell>
        </row>
        <row r="35">
          <cell r="J35">
            <v>45000</v>
          </cell>
        </row>
        <row r="36">
          <cell r="J36">
            <v>45000</v>
          </cell>
        </row>
        <row r="37">
          <cell r="J37">
            <v>55000</v>
          </cell>
        </row>
        <row r="38">
          <cell r="J38">
            <v>343687</v>
          </cell>
        </row>
        <row r="40">
          <cell r="J40">
            <v>63495</v>
          </cell>
        </row>
        <row r="41">
          <cell r="J41">
            <v>43705</v>
          </cell>
        </row>
        <row r="42">
          <cell r="J42">
            <v>43260</v>
          </cell>
        </row>
        <row r="43">
          <cell r="J43">
            <v>42000</v>
          </cell>
        </row>
        <row r="44">
          <cell r="J44">
            <v>42000</v>
          </cell>
        </row>
        <row r="45">
          <cell r="J45">
            <v>42000</v>
          </cell>
        </row>
        <row r="46">
          <cell r="J46">
            <v>60000</v>
          </cell>
        </row>
        <row r="47">
          <cell r="J47">
            <v>336460</v>
          </cell>
        </row>
        <row r="49">
          <cell r="J49">
            <v>66650</v>
          </cell>
        </row>
        <row r="50">
          <cell r="J50">
            <v>18540</v>
          </cell>
        </row>
        <row r="51">
          <cell r="J51">
            <v>68448</v>
          </cell>
        </row>
        <row r="52">
          <cell r="J52">
            <v>69837</v>
          </cell>
        </row>
        <row r="53">
          <cell r="J53">
            <v>55000</v>
          </cell>
        </row>
        <row r="54">
          <cell r="J54">
            <v>35000</v>
          </cell>
        </row>
        <row r="55">
          <cell r="J55">
            <v>66800</v>
          </cell>
        </row>
        <row r="56">
          <cell r="J56">
            <v>18000</v>
          </cell>
        </row>
        <row r="57">
          <cell r="J57">
            <v>398275</v>
          </cell>
        </row>
        <row r="59">
          <cell r="J59">
            <v>54590</v>
          </cell>
        </row>
        <row r="60">
          <cell r="J60">
            <v>60564</v>
          </cell>
        </row>
        <row r="61">
          <cell r="J61">
            <v>70040</v>
          </cell>
        </row>
        <row r="62">
          <cell r="J62">
            <v>70000</v>
          </cell>
        </row>
        <row r="63">
          <cell r="J63">
            <v>255194</v>
          </cell>
        </row>
        <row r="69">
          <cell r="J69">
            <v>167567.13</v>
          </cell>
        </row>
        <row r="77">
          <cell r="I77">
            <v>190000</v>
          </cell>
        </row>
        <row r="78">
          <cell r="I78">
            <v>21904.2</v>
          </cell>
        </row>
        <row r="86">
          <cell r="I86">
            <v>5692</v>
          </cell>
        </row>
      </sheetData>
      <sheetData sheetId="5">
        <row r="4">
          <cell r="H4">
            <v>8447.880000000001</v>
          </cell>
        </row>
        <row r="5">
          <cell r="G5">
            <v>3124</v>
          </cell>
        </row>
        <row r="12">
          <cell r="G12">
            <v>3886024.8000000003</v>
          </cell>
          <cell r="H12">
            <v>4012743</v>
          </cell>
        </row>
        <row r="22">
          <cell r="G22">
            <v>1437040</v>
          </cell>
          <cell r="H22">
            <v>1483900</v>
          </cell>
        </row>
        <row r="25">
          <cell r="G25">
            <v>0</v>
          </cell>
        </row>
        <row r="33">
          <cell r="G33">
            <v>27483.215</v>
          </cell>
        </row>
      </sheetData>
      <sheetData sheetId="6">
        <row r="10">
          <cell r="I10">
            <v>56400</v>
          </cell>
        </row>
        <row r="16">
          <cell r="I16">
            <v>15000</v>
          </cell>
        </row>
        <row r="22">
          <cell r="I22">
            <v>108300</v>
          </cell>
        </row>
        <row r="27">
          <cell r="I27">
            <v>7200</v>
          </cell>
        </row>
        <row r="34">
          <cell r="I34">
            <v>966900</v>
          </cell>
        </row>
      </sheetData>
      <sheetData sheetId="7">
        <row r="7">
          <cell r="K7">
            <v>33000</v>
          </cell>
        </row>
        <row r="10">
          <cell r="K10">
            <v>760000</v>
          </cell>
        </row>
        <row r="18">
          <cell r="K18">
            <v>25000</v>
          </cell>
        </row>
        <row r="53">
          <cell r="K53">
            <v>20000</v>
          </cell>
        </row>
        <row r="61">
          <cell r="L61">
            <v>65333.333333333336</v>
          </cell>
        </row>
      </sheetData>
      <sheetData sheetId="8">
        <row r="9">
          <cell r="J9">
            <v>21904.2</v>
          </cell>
        </row>
        <row r="10">
          <cell r="F10">
            <v>13264</v>
          </cell>
          <cell r="H10">
            <v>1061.1200000000001</v>
          </cell>
          <cell r="J10">
            <v>1061.1200000000001</v>
          </cell>
        </row>
      </sheetData>
      <sheetData sheetId="9">
        <row r="10">
          <cell r="H10">
            <v>67200</v>
          </cell>
        </row>
        <row r="15">
          <cell r="H15">
            <v>84000</v>
          </cell>
        </row>
        <row r="22">
          <cell r="H22">
            <v>6650</v>
          </cell>
        </row>
        <row r="29">
          <cell r="H29">
            <v>9000</v>
          </cell>
        </row>
      </sheetData>
      <sheetData sheetId="10">
        <row r="7">
          <cell r="I7">
            <v>8400</v>
          </cell>
        </row>
        <row r="11">
          <cell r="I11">
            <v>1500</v>
          </cell>
        </row>
        <row r="16">
          <cell r="I16">
            <v>8400</v>
          </cell>
        </row>
      </sheetData>
      <sheetData sheetId="11">
        <row r="10">
          <cell r="I10">
            <v>120000</v>
          </cell>
        </row>
        <row r="16">
          <cell r="I16">
            <v>14000</v>
          </cell>
        </row>
        <row r="26">
          <cell r="I26">
            <v>12576</v>
          </cell>
        </row>
        <row r="33">
          <cell r="I33">
            <v>10000</v>
          </cell>
        </row>
        <row r="46">
          <cell r="I46">
            <v>20000</v>
          </cell>
        </row>
      </sheetData>
      <sheetData sheetId="12">
        <row r="9">
          <cell r="G9">
            <v>35000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8"/>
  <sheetViews>
    <sheetView tabSelected="1" zoomScaleNormal="100" workbookViewId="0">
      <selection activeCell="I40" sqref="I40"/>
    </sheetView>
  </sheetViews>
  <sheetFormatPr defaultRowHeight="12.75" x14ac:dyDescent="0.2"/>
  <cols>
    <col min="1" max="1" width="5.5703125" style="4" bestFit="1" customWidth="1"/>
    <col min="2" max="2" width="27.28515625" style="4" customWidth="1"/>
    <col min="3" max="3" width="35.42578125" style="134" bestFit="1" customWidth="1"/>
    <col min="4" max="4" width="11.28515625" style="4" hidden="1" customWidth="1"/>
    <col min="5" max="5" width="12.28515625" style="134" hidden="1" customWidth="1"/>
    <col min="6" max="6" width="0.28515625" style="138" customWidth="1"/>
    <col min="7" max="8" width="19" style="84" bestFit="1" customWidth="1"/>
    <col min="9" max="9" width="19" style="84" customWidth="1"/>
    <col min="10" max="10" width="19" style="85" hidden="1" customWidth="1"/>
    <col min="11" max="11" width="19" style="85" bestFit="1" customWidth="1"/>
    <col min="12" max="12" width="15.42578125" style="38" hidden="1" customWidth="1"/>
    <col min="13" max="13" width="2.42578125" style="38" hidden="1" customWidth="1"/>
    <col min="14" max="14" width="60.5703125" style="4" hidden="1" customWidth="1"/>
    <col min="15" max="15" width="13.42578125" hidden="1" customWidth="1"/>
    <col min="17" max="17" width="11.28515625" bestFit="1" customWidth="1"/>
  </cols>
  <sheetData>
    <row r="1" spans="1:15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3"/>
    </row>
    <row r="2" spans="1:15" ht="23.2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3"/>
    </row>
    <row r="3" spans="1:15" ht="9" customHeight="1" x14ac:dyDescent="0.25">
      <c r="B3" s="2"/>
      <c r="C3" s="5"/>
      <c r="D3" s="2"/>
      <c r="E3" s="2"/>
      <c r="F3" s="6"/>
      <c r="G3" s="7"/>
      <c r="H3" s="7"/>
      <c r="I3" s="7"/>
      <c r="J3" s="5"/>
      <c r="K3" s="5"/>
      <c r="L3" s="8"/>
      <c r="M3" s="2"/>
      <c r="N3" s="9"/>
      <c r="O3" s="3"/>
    </row>
    <row r="4" spans="1:15" ht="9.75" customHeight="1" x14ac:dyDescent="0.65">
      <c r="B4" s="10"/>
      <c r="C4" s="11"/>
      <c r="D4" s="10"/>
      <c r="E4" s="10"/>
      <c r="F4" s="12"/>
      <c r="G4" s="13"/>
      <c r="H4" s="13"/>
      <c r="I4" s="13"/>
      <c r="J4" s="11"/>
      <c r="K4" s="11"/>
      <c r="L4" s="14"/>
      <c r="M4" s="10"/>
      <c r="N4" s="15"/>
      <c r="O4" s="16"/>
    </row>
    <row r="5" spans="1:15" ht="8.25" customHeight="1" thickBot="1" x14ac:dyDescent="0.7">
      <c r="B5" s="10"/>
      <c r="C5" s="11"/>
      <c r="D5" s="10"/>
      <c r="E5" s="10"/>
      <c r="F5" s="12"/>
      <c r="G5" s="13"/>
      <c r="H5" s="13"/>
      <c r="I5" s="13"/>
      <c r="J5" s="11"/>
      <c r="K5" s="11"/>
      <c r="L5" s="14"/>
      <c r="M5" s="10"/>
      <c r="N5" s="15"/>
      <c r="O5" s="16"/>
    </row>
    <row r="6" spans="1:15" ht="27.75" thickBot="1" x14ac:dyDescent="0.35">
      <c r="A6" s="17" t="s">
        <v>2</v>
      </c>
      <c r="B6" s="18" t="s">
        <v>3</v>
      </c>
      <c r="C6" s="19" t="s">
        <v>3</v>
      </c>
      <c r="D6" s="20" t="s">
        <v>4</v>
      </c>
      <c r="E6" s="19" t="s">
        <v>5</v>
      </c>
      <c r="F6" s="21"/>
      <c r="G6" s="22" t="s">
        <v>6</v>
      </c>
      <c r="H6" s="23"/>
      <c r="I6" s="23"/>
      <c r="J6" s="23"/>
      <c r="K6" s="24"/>
      <c r="L6" s="25" t="s">
        <v>7</v>
      </c>
      <c r="M6" s="26"/>
      <c r="N6" s="27" t="s">
        <v>8</v>
      </c>
      <c r="O6" s="28"/>
    </row>
    <row r="7" spans="1:15" ht="15.75" thickBot="1" x14ac:dyDescent="0.3">
      <c r="B7" s="29" t="s">
        <v>9</v>
      </c>
      <c r="C7" s="30"/>
      <c r="D7" s="31"/>
      <c r="E7" s="30"/>
      <c r="F7" s="32"/>
      <c r="G7" s="34"/>
      <c r="H7" s="35"/>
      <c r="I7" s="35"/>
      <c r="J7" s="36"/>
      <c r="K7" s="37"/>
      <c r="L7" s="38" t="s">
        <v>10</v>
      </c>
      <c r="M7" s="39"/>
      <c r="N7" s="40"/>
      <c r="O7" s="41"/>
    </row>
    <row r="8" spans="1:15" ht="13.5" thickBot="1" x14ac:dyDescent="0.25">
      <c r="B8" s="42"/>
      <c r="C8" s="30"/>
      <c r="D8" s="31"/>
      <c r="E8" s="30"/>
      <c r="F8" s="33"/>
      <c r="G8" s="43" t="s">
        <v>11</v>
      </c>
      <c r="H8" s="43" t="s">
        <v>12</v>
      </c>
      <c r="I8" s="43" t="s">
        <v>13</v>
      </c>
      <c r="J8" s="44"/>
      <c r="K8" s="45"/>
      <c r="L8" s="46"/>
      <c r="M8" s="47"/>
      <c r="N8" s="40"/>
      <c r="O8" s="41"/>
    </row>
    <row r="9" spans="1:15" ht="13.5" thickBot="1" x14ac:dyDescent="0.25">
      <c r="A9" s="17">
        <v>1</v>
      </c>
      <c r="B9" s="42" t="s">
        <v>14</v>
      </c>
      <c r="C9" s="30"/>
      <c r="D9" s="31"/>
      <c r="E9" s="30"/>
      <c r="F9" s="33"/>
      <c r="G9" s="48"/>
      <c r="H9" s="48"/>
      <c r="I9" s="48"/>
      <c r="J9" s="48" t="s">
        <v>15</v>
      </c>
      <c r="K9" s="48" t="s">
        <v>16</v>
      </c>
      <c r="L9" s="46"/>
      <c r="M9" s="47"/>
      <c r="N9" s="40"/>
      <c r="O9" s="41"/>
    </row>
    <row r="10" spans="1:15" x14ac:dyDescent="0.2">
      <c r="A10" s="17">
        <v>2</v>
      </c>
      <c r="B10" s="49" t="s">
        <v>17</v>
      </c>
      <c r="C10" s="50" t="s">
        <v>18</v>
      </c>
      <c r="D10" s="51">
        <v>4951590</v>
      </c>
      <c r="E10" s="52">
        <v>5111955.97</v>
      </c>
      <c r="F10" s="53"/>
      <c r="G10" s="54">
        <f>75*'[1]PP revenue fy17'!H4</f>
        <v>633591.00000000012</v>
      </c>
      <c r="H10" s="54">
        <f>50*'[1]PP revenue fy17'!H4</f>
        <v>422394.00000000006</v>
      </c>
      <c r="I10" s="54">
        <f>350*'[1]PP revenue fy17'!H4</f>
        <v>2956758.0000000005</v>
      </c>
      <c r="J10" s="55">
        <f>'[1]PP revenue fy17'!G12</f>
        <v>3886024.8000000003</v>
      </c>
      <c r="K10" s="55">
        <f>'[1]PP revenue fy17'!H12</f>
        <v>4012743</v>
      </c>
      <c r="L10" s="56"/>
      <c r="M10" s="56"/>
      <c r="N10" s="40"/>
      <c r="O10" s="57"/>
    </row>
    <row r="11" spans="1:15" x14ac:dyDescent="0.2">
      <c r="A11" s="17">
        <v>3</v>
      </c>
      <c r="B11" s="49" t="s">
        <v>19</v>
      </c>
      <c r="C11" s="50" t="s">
        <v>20</v>
      </c>
      <c r="D11" s="58">
        <v>1849855</v>
      </c>
      <c r="E11" s="59">
        <v>1702859.96</v>
      </c>
      <c r="F11" s="60"/>
      <c r="G11" s="61">
        <f>75*'[1]PP revenue fy17'!G5</f>
        <v>234300</v>
      </c>
      <c r="H11" s="61">
        <f>50*'[1]PP revenue fy17'!G5</f>
        <v>156200</v>
      </c>
      <c r="I11" s="61">
        <f>350*'[1]PP revenue fy17'!G5</f>
        <v>1093400</v>
      </c>
      <c r="J11" s="62">
        <f>'[1]PP revenue fy17'!G22</f>
        <v>1437040</v>
      </c>
      <c r="K11" s="62">
        <f>'[1]PP revenue fy17'!H22</f>
        <v>1483900</v>
      </c>
      <c r="L11" s="63"/>
      <c r="M11" s="64"/>
      <c r="N11" s="40"/>
      <c r="O11" s="57"/>
    </row>
    <row r="12" spans="1:15" x14ac:dyDescent="0.2">
      <c r="A12" s="17">
        <v>4</v>
      </c>
      <c r="B12" s="49" t="s">
        <v>21</v>
      </c>
      <c r="C12" s="50" t="s">
        <v>22</v>
      </c>
      <c r="D12" s="58">
        <v>176875</v>
      </c>
      <c r="E12" s="59">
        <v>53417</v>
      </c>
      <c r="F12" s="65"/>
      <c r="G12" s="66"/>
      <c r="H12" s="66"/>
      <c r="I12" s="66"/>
      <c r="J12" s="67">
        <f>'[1]PP revenue fy17'!G25</f>
        <v>0</v>
      </c>
      <c r="K12" s="67">
        <f>'[1]PP revenue fy17'!G25</f>
        <v>0</v>
      </c>
      <c r="L12" s="68"/>
      <c r="M12" s="69"/>
      <c r="N12" s="40"/>
      <c r="O12" s="57"/>
    </row>
    <row r="13" spans="1:15" x14ac:dyDescent="0.2">
      <c r="A13" s="17">
        <v>5</v>
      </c>
      <c r="B13" s="49" t="s">
        <v>23</v>
      </c>
      <c r="C13" s="50" t="s">
        <v>24</v>
      </c>
      <c r="D13" s="58"/>
      <c r="E13" s="59"/>
      <c r="F13" s="70"/>
      <c r="G13" s="71"/>
      <c r="H13" s="71"/>
      <c r="I13" s="71"/>
      <c r="J13" s="72"/>
      <c r="K13" s="72"/>
      <c r="L13" s="68"/>
      <c r="M13" s="69"/>
      <c r="N13" s="40"/>
      <c r="O13" s="57"/>
    </row>
    <row r="14" spans="1:15" x14ac:dyDescent="0.2">
      <c r="A14" s="17">
        <v>6</v>
      </c>
      <c r="B14" s="42" t="s">
        <v>25</v>
      </c>
      <c r="C14" s="73" t="s">
        <v>26</v>
      </c>
      <c r="D14" s="74">
        <f>ROUND(SUBTOTAL(9, D7:D12), 5)</f>
        <v>6978320</v>
      </c>
      <c r="E14" s="75">
        <f>ROUND(SUBTOTAL(9, E7:E12), 5)</f>
        <v>6868232.9299999997</v>
      </c>
      <c r="F14" s="33"/>
      <c r="G14" s="76">
        <f>SUM(G10:G13)</f>
        <v>867891.00000000012</v>
      </c>
      <c r="H14" s="76">
        <f>SUM(H10:H13)</f>
        <v>578594</v>
      </c>
      <c r="I14" s="76">
        <f>SUM(I10:I13)</f>
        <v>4050158.0000000005</v>
      </c>
      <c r="J14" s="77">
        <f>SUM(J10:J12)</f>
        <v>5323064.8000000007</v>
      </c>
      <c r="K14" s="77">
        <f>SUM(K10:K12)</f>
        <v>5496643</v>
      </c>
      <c r="L14" s="46" t="e">
        <f>(#REF!-#REF!)/#REF!</f>
        <v>#REF!</v>
      </c>
      <c r="M14" s="47"/>
      <c r="N14" s="78" t="e">
        <f>+K14-#REF!</f>
        <v>#REF!</v>
      </c>
      <c r="O14" s="79"/>
    </row>
    <row r="15" spans="1:15" ht="10.5" customHeight="1" x14ac:dyDescent="0.2">
      <c r="A15" s="17">
        <v>7</v>
      </c>
      <c r="B15" s="80" t="s">
        <v>25</v>
      </c>
      <c r="C15" s="81"/>
      <c r="D15" s="40"/>
      <c r="E15" s="81"/>
      <c r="F15" s="60"/>
      <c r="G15" s="61"/>
      <c r="H15" s="61"/>
      <c r="I15" s="61"/>
      <c r="J15" s="62"/>
      <c r="K15" s="62"/>
      <c r="L15" s="63"/>
      <c r="M15" s="64"/>
      <c r="N15" s="40"/>
      <c r="O15" s="57"/>
    </row>
    <row r="16" spans="1:15" x14ac:dyDescent="0.2">
      <c r="A16" s="17">
        <v>8</v>
      </c>
      <c r="B16" s="49" t="s">
        <v>27</v>
      </c>
      <c r="C16" s="50" t="s">
        <v>28</v>
      </c>
      <c r="D16" s="58">
        <v>88239</v>
      </c>
      <c r="E16" s="59">
        <v>10000</v>
      </c>
      <c r="F16" s="60"/>
      <c r="G16" s="61">
        <f>+K16</f>
        <v>25000</v>
      </c>
      <c r="H16" s="61"/>
      <c r="I16" s="61"/>
      <c r="J16" s="62">
        <v>25000</v>
      </c>
      <c r="K16" s="62">
        <v>25000</v>
      </c>
      <c r="L16" s="63"/>
      <c r="M16" s="64"/>
      <c r="N16" s="40"/>
      <c r="O16" s="57"/>
    </row>
    <row r="17" spans="1:17" x14ac:dyDescent="0.2">
      <c r="A17" s="17">
        <v>9</v>
      </c>
      <c r="B17" s="49" t="s">
        <v>29</v>
      </c>
      <c r="C17" s="50" t="s">
        <v>30</v>
      </c>
      <c r="D17" s="58">
        <v>95000</v>
      </c>
      <c r="E17" s="59">
        <v>15850.9</v>
      </c>
      <c r="F17" s="60"/>
      <c r="G17" s="61">
        <f t="shared" ref="G17:G20" si="0">+K17</f>
        <v>0</v>
      </c>
      <c r="H17" s="61"/>
      <c r="I17" s="61"/>
      <c r="J17" s="62"/>
      <c r="K17" s="62"/>
      <c r="L17" s="63"/>
      <c r="M17" s="64"/>
      <c r="N17" s="40"/>
      <c r="O17" s="57"/>
    </row>
    <row r="18" spans="1:17" x14ac:dyDescent="0.2">
      <c r="A18" s="17">
        <v>10</v>
      </c>
      <c r="B18" s="49" t="s">
        <v>31</v>
      </c>
      <c r="C18" s="82" t="s">
        <v>32</v>
      </c>
      <c r="D18" s="58"/>
      <c r="E18" s="59"/>
      <c r="F18" s="83"/>
      <c r="G18" s="61">
        <f t="shared" si="0"/>
        <v>0</v>
      </c>
      <c r="L18" s="63"/>
      <c r="M18" s="64"/>
      <c r="N18" s="40"/>
      <c r="O18" s="57"/>
    </row>
    <row r="19" spans="1:17" x14ac:dyDescent="0.2">
      <c r="A19" s="17">
        <v>11</v>
      </c>
      <c r="B19" s="49" t="s">
        <v>33</v>
      </c>
      <c r="C19" s="50" t="s">
        <v>34</v>
      </c>
      <c r="D19" s="58">
        <v>271796</v>
      </c>
      <c r="E19" s="59">
        <v>190393.95</v>
      </c>
      <c r="F19" s="60"/>
      <c r="G19" s="61">
        <f t="shared" si="0"/>
        <v>17500</v>
      </c>
      <c r="H19" s="61"/>
      <c r="I19" s="61"/>
      <c r="J19" s="62">
        <v>17500</v>
      </c>
      <c r="K19" s="62">
        <v>17500</v>
      </c>
      <c r="L19" s="63"/>
      <c r="M19" s="64"/>
      <c r="N19" s="86"/>
      <c r="O19" s="79"/>
    </row>
    <row r="20" spans="1:17" x14ac:dyDescent="0.2">
      <c r="A20" s="17"/>
      <c r="B20" s="49" t="s">
        <v>35</v>
      </c>
      <c r="C20" s="50" t="s">
        <v>36</v>
      </c>
      <c r="D20" s="58"/>
      <c r="E20" s="59"/>
      <c r="F20" s="60"/>
      <c r="G20" s="61">
        <f t="shared" si="0"/>
        <v>19126.52</v>
      </c>
      <c r="H20" s="61"/>
      <c r="I20" s="61"/>
      <c r="J20" s="62">
        <v>19126.52</v>
      </c>
      <c r="K20" s="62">
        <v>19126.52</v>
      </c>
      <c r="L20" s="63"/>
      <c r="M20" s="64"/>
      <c r="N20" s="86"/>
      <c r="O20" s="79"/>
    </row>
    <row r="21" spans="1:17" ht="13.5" thickBot="1" x14ac:dyDescent="0.25">
      <c r="A21" s="17">
        <v>12</v>
      </c>
      <c r="B21" s="42" t="s">
        <v>25</v>
      </c>
      <c r="C21" s="73" t="s">
        <v>37</v>
      </c>
      <c r="D21" s="74" t="e">
        <f>-(ROUND(-D14+-#REF!+-#REF!+-#REF!+-#REF!- SUBTOTAL(9,#REF!), 5))</f>
        <v>#REF!</v>
      </c>
      <c r="E21" s="75" t="e">
        <f>-(ROUND(-E14+-#REF!+-#REF!+-#REF!+-#REF!- SUBTOTAL(9,#REF!), 5))</f>
        <v>#REF!</v>
      </c>
      <c r="F21" s="87"/>
      <c r="G21" s="88">
        <f>+G14+G16+G17+G19+G20</f>
        <v>929517.52000000014</v>
      </c>
      <c r="H21" s="88">
        <f>+H14+H16+H17+H19+H20</f>
        <v>578594</v>
      </c>
      <c r="I21" s="88">
        <f>+I14+I16+I17+I19+I20</f>
        <v>4050158.0000000005</v>
      </c>
      <c r="J21" s="88">
        <f>+J14+J16+J17+J19+J20</f>
        <v>5384691.3200000003</v>
      </c>
      <c r="K21" s="88">
        <f>+K14+K16+K17+K19+K20</f>
        <v>5558269.5199999996</v>
      </c>
      <c r="L21" s="46" t="e">
        <f>(#REF!-#REF!)/#REF!</f>
        <v>#REF!</v>
      </c>
      <c r="M21" s="89"/>
      <c r="N21" s="90"/>
      <c r="O21" s="41"/>
    </row>
    <row r="22" spans="1:17" ht="13.5" thickTop="1" x14ac:dyDescent="0.2">
      <c r="A22" s="17">
        <v>13</v>
      </c>
      <c r="B22" s="91"/>
      <c r="C22" s="82"/>
      <c r="D22" s="92"/>
      <c r="E22" s="93"/>
      <c r="F22" s="83"/>
      <c r="L22" s="63"/>
      <c r="M22" s="63"/>
    </row>
    <row r="23" spans="1:17" x14ac:dyDescent="0.2">
      <c r="A23" s="17">
        <v>14</v>
      </c>
      <c r="B23" s="80" t="s">
        <v>25</v>
      </c>
      <c r="C23" s="81"/>
      <c r="D23" s="40"/>
      <c r="E23" s="81"/>
      <c r="F23" s="60"/>
      <c r="G23" s="61"/>
      <c r="H23" s="61"/>
      <c r="I23" s="61"/>
      <c r="J23" s="62"/>
      <c r="K23" s="62"/>
      <c r="L23" s="63"/>
      <c r="M23" s="64"/>
      <c r="N23" s="40"/>
      <c r="O23" s="57"/>
    </row>
    <row r="24" spans="1:17" ht="15" x14ac:dyDescent="0.25">
      <c r="A24" s="17">
        <v>15</v>
      </c>
      <c r="B24" s="29" t="s">
        <v>38</v>
      </c>
      <c r="C24" s="30"/>
      <c r="D24" s="31"/>
      <c r="E24" s="30"/>
      <c r="F24" s="33"/>
      <c r="G24" s="76"/>
      <c r="H24" s="76"/>
      <c r="I24" s="76"/>
      <c r="J24" s="77"/>
      <c r="K24" s="77"/>
      <c r="L24" s="46"/>
      <c r="M24" s="47"/>
      <c r="N24" s="40"/>
      <c r="O24" s="41"/>
    </row>
    <row r="25" spans="1:17" x14ac:dyDescent="0.2">
      <c r="A25" s="17">
        <v>16</v>
      </c>
      <c r="B25" s="49" t="s">
        <v>39</v>
      </c>
      <c r="C25" s="81" t="s">
        <v>40</v>
      </c>
      <c r="D25" s="40"/>
      <c r="E25" s="81"/>
      <c r="F25" s="60"/>
      <c r="G25" s="71">
        <f>+K25</f>
        <v>14325.12</v>
      </c>
      <c r="H25" s="71"/>
      <c r="I25" s="71"/>
      <c r="J25" s="72">
        <f>+'[1]debt and banking fy16'!J10+'[1]debt and banking fy16'!F10</f>
        <v>14325.12</v>
      </c>
      <c r="K25" s="72">
        <f>+'[1]debt and banking fy16'!J10+'[1]debt and banking fy16'!F10</f>
        <v>14325.12</v>
      </c>
      <c r="L25" s="63"/>
      <c r="M25" s="64"/>
      <c r="N25" s="40"/>
      <c r="O25" s="57"/>
    </row>
    <row r="26" spans="1:17" x14ac:dyDescent="0.2">
      <c r="A26" s="17">
        <v>17</v>
      </c>
      <c r="B26" s="73" t="s">
        <v>41</v>
      </c>
      <c r="C26" s="81"/>
      <c r="D26" s="40"/>
      <c r="E26" s="81"/>
      <c r="F26" s="60"/>
      <c r="G26" s="76">
        <f>SUM(G25)</f>
        <v>14325.12</v>
      </c>
      <c r="H26" s="61"/>
      <c r="I26" s="61"/>
      <c r="J26" s="77">
        <f>SUM(J25)</f>
        <v>14325.12</v>
      </c>
      <c r="K26" s="77">
        <f>SUM(K25)</f>
        <v>14325.12</v>
      </c>
      <c r="L26" s="63"/>
      <c r="M26" s="64"/>
      <c r="N26" s="40"/>
      <c r="O26" s="57"/>
    </row>
    <row r="27" spans="1:17" x14ac:dyDescent="0.2">
      <c r="A27" s="17"/>
      <c r="B27" s="94"/>
      <c r="C27" s="95"/>
      <c r="D27" s="95"/>
      <c r="E27" s="95"/>
      <c r="F27" s="96"/>
      <c r="G27" s="97"/>
      <c r="H27" s="98"/>
      <c r="I27" s="98"/>
      <c r="J27" s="99"/>
      <c r="K27" s="99"/>
      <c r="L27" s="63"/>
      <c r="M27" s="64"/>
      <c r="N27" s="40"/>
      <c r="O27" s="57"/>
    </row>
    <row r="28" spans="1:17" x14ac:dyDescent="0.2">
      <c r="A28" s="17">
        <v>18</v>
      </c>
      <c r="B28" s="80"/>
      <c r="C28" s="81"/>
      <c r="D28" s="40"/>
      <c r="E28" s="81"/>
      <c r="F28" s="60"/>
      <c r="G28" s="61"/>
      <c r="H28" s="61"/>
      <c r="I28" s="61"/>
      <c r="J28" s="62"/>
      <c r="K28" s="62"/>
      <c r="L28" s="63"/>
      <c r="M28" s="64"/>
      <c r="N28" s="40"/>
      <c r="O28" s="57"/>
    </row>
    <row r="29" spans="1:17" ht="13.5" thickBot="1" x14ac:dyDescent="0.25">
      <c r="A29" s="17">
        <v>19</v>
      </c>
      <c r="B29" s="80"/>
      <c r="C29" s="81"/>
      <c r="D29" s="40"/>
      <c r="E29" s="81"/>
      <c r="F29" s="60"/>
      <c r="G29" s="76"/>
      <c r="H29" s="76"/>
      <c r="I29" s="61"/>
      <c r="J29" s="62"/>
      <c r="K29" s="62"/>
      <c r="L29" s="63"/>
      <c r="M29" s="64"/>
      <c r="N29" s="40"/>
      <c r="O29" s="57"/>
    </row>
    <row r="30" spans="1:17" ht="13.5" thickBot="1" x14ac:dyDescent="0.25">
      <c r="A30" s="17">
        <v>20</v>
      </c>
      <c r="B30" s="42" t="s">
        <v>42</v>
      </c>
      <c r="C30" s="30"/>
      <c r="D30" s="31"/>
      <c r="E30" s="30"/>
      <c r="F30" s="33"/>
      <c r="G30" s="43" t="s">
        <v>11</v>
      </c>
      <c r="H30" s="43" t="s">
        <v>12</v>
      </c>
      <c r="I30" s="43" t="s">
        <v>13</v>
      </c>
      <c r="J30" s="77"/>
      <c r="K30" s="77"/>
      <c r="L30" s="46"/>
      <c r="M30" s="47"/>
      <c r="N30" s="40"/>
      <c r="O30" s="41"/>
    </row>
    <row r="31" spans="1:17" x14ac:dyDescent="0.2">
      <c r="A31" s="17">
        <v>21</v>
      </c>
      <c r="B31" s="49" t="s">
        <v>43</v>
      </c>
      <c r="C31" s="50" t="s">
        <v>44</v>
      </c>
      <c r="D31" s="58">
        <v>200250</v>
      </c>
      <c r="E31" s="59">
        <v>132843.38</v>
      </c>
      <c r="F31" s="60"/>
      <c r="G31" s="61">
        <f>+'[1]comp &amp; ben fy17'!J8</f>
        <v>223684</v>
      </c>
      <c r="H31" s="61"/>
      <c r="I31" s="61">
        <v>0</v>
      </c>
      <c r="J31" s="62">
        <f>'[1]comp &amp; ben fy17'!J8</f>
        <v>223684</v>
      </c>
      <c r="K31" s="62">
        <f>+'[1]comp &amp; ben fy17'!J8</f>
        <v>223684</v>
      </c>
      <c r="L31" s="63"/>
      <c r="M31" s="64"/>
      <c r="N31" s="86" t="s">
        <v>45</v>
      </c>
      <c r="O31" s="79"/>
      <c r="Q31" s="100"/>
    </row>
    <row r="32" spans="1:17" x14ac:dyDescent="0.2">
      <c r="A32" s="17">
        <v>22</v>
      </c>
      <c r="B32" s="49" t="s">
        <v>46</v>
      </c>
      <c r="C32" s="50" t="s">
        <v>47</v>
      </c>
      <c r="D32" s="58">
        <v>528995</v>
      </c>
      <c r="E32" s="59">
        <v>389322.91</v>
      </c>
      <c r="F32" s="60"/>
      <c r="G32" s="61">
        <f>+'[1]comp &amp; ben fy17'!J61</f>
        <v>70040</v>
      </c>
      <c r="H32" s="61"/>
      <c r="I32" s="61">
        <f>+'[1]comp &amp; ben fy17'!J59+'[1]comp &amp; ben fy17'!J60+'[1]comp &amp; ben fy17'!J62</f>
        <v>185154</v>
      </c>
      <c r="J32" s="62">
        <f>+'[1]comp &amp; ben fy17'!J63</f>
        <v>255194</v>
      </c>
      <c r="K32" s="62">
        <f>+'[1]comp &amp; ben fy17'!J63</f>
        <v>255194</v>
      </c>
      <c r="L32" s="63"/>
      <c r="M32" s="64"/>
      <c r="N32" s="40"/>
      <c r="O32" s="57"/>
      <c r="Q32" s="100"/>
    </row>
    <row r="33" spans="1:17" x14ac:dyDescent="0.2">
      <c r="A33" s="17">
        <v>23</v>
      </c>
      <c r="B33" s="49" t="s">
        <v>48</v>
      </c>
      <c r="C33" s="50" t="s">
        <v>49</v>
      </c>
      <c r="D33" s="58">
        <v>0</v>
      </c>
      <c r="E33" s="59">
        <v>36234.19</v>
      </c>
      <c r="F33" s="60"/>
      <c r="G33" s="61">
        <f>+'[1]comp &amp; ben fy17'!J37</f>
        <v>55000</v>
      </c>
      <c r="H33" s="61">
        <f>+'[1]comp &amp; ben fy17'!J32</f>
        <v>76950</v>
      </c>
      <c r="I33" s="61">
        <f>+'[1]comp &amp; ben fy17'!J33+'[1]comp &amp; ben fy17'!J34+'[1]comp &amp; ben fy17'!J35+'[1]comp &amp; ben fy17'!J36</f>
        <v>211737</v>
      </c>
      <c r="J33" s="62">
        <f>+'[1]comp &amp; ben fy17'!J38</f>
        <v>343687</v>
      </c>
      <c r="K33" s="62">
        <f>+'[1]comp &amp; ben fy17'!J38</f>
        <v>343687</v>
      </c>
      <c r="L33" s="63"/>
      <c r="M33" s="64"/>
      <c r="N33" s="81"/>
      <c r="O33" s="57"/>
      <c r="Q33" s="100"/>
    </row>
    <row r="34" spans="1:17" x14ac:dyDescent="0.2">
      <c r="A34" s="17">
        <v>24</v>
      </c>
      <c r="B34" s="49" t="s">
        <v>50</v>
      </c>
      <c r="C34" s="50" t="s">
        <v>51</v>
      </c>
      <c r="D34" s="58">
        <v>0</v>
      </c>
      <c r="E34" s="59">
        <v>5867.62</v>
      </c>
      <c r="F34" s="60"/>
      <c r="G34" s="61">
        <f>+'[1]comp &amp; ben fy17'!J46</f>
        <v>60000</v>
      </c>
      <c r="H34" s="61">
        <f>+'[1]comp &amp; ben fy17'!J41</f>
        <v>43705</v>
      </c>
      <c r="I34" s="61">
        <f>+'[1]comp &amp; ben fy17'!J40+'[1]comp &amp; ben fy17'!J42+'[1]comp &amp; ben fy17'!J43+'[1]comp &amp; ben fy17'!J44+'[1]comp &amp; ben fy17'!J45</f>
        <v>232755</v>
      </c>
      <c r="J34" s="62">
        <f>+'[1]comp &amp; ben fy17'!J47</f>
        <v>336460</v>
      </c>
      <c r="K34" s="62">
        <f>+'[1]comp &amp; ben fy17'!J47</f>
        <v>336460</v>
      </c>
      <c r="L34" s="63"/>
      <c r="M34" s="64"/>
      <c r="N34" s="81"/>
      <c r="O34" s="57"/>
      <c r="Q34" s="100"/>
    </row>
    <row r="35" spans="1:17" x14ac:dyDescent="0.2">
      <c r="A35" s="17">
        <v>25</v>
      </c>
      <c r="B35" s="49" t="s">
        <v>52</v>
      </c>
      <c r="C35" s="50" t="s">
        <v>53</v>
      </c>
      <c r="D35" s="58"/>
      <c r="E35" s="59"/>
      <c r="F35" s="60"/>
      <c r="G35" s="61">
        <v>0</v>
      </c>
      <c r="H35" s="61">
        <f>+'[1]comp &amp; ben fy17'!J49+'[1]comp &amp; ben fy17'!J54</f>
        <v>101650</v>
      </c>
      <c r="I35" s="61">
        <f>+'[1]comp &amp; ben fy17'!J50+'[1]comp &amp; ben fy17'!J51+'[1]comp &amp; ben fy17'!J52+'[1]comp &amp; ben fy17'!J53+'[1]comp &amp; ben fy17'!J55+'[1]comp &amp; ben fy17'!J56</f>
        <v>296625</v>
      </c>
      <c r="J35" s="62">
        <f>+'[1]comp &amp; ben fy17'!J57</f>
        <v>398275</v>
      </c>
      <c r="K35" s="62">
        <f>+'[1]comp &amp; ben fy17'!J57</f>
        <v>398275</v>
      </c>
      <c r="L35" s="63"/>
      <c r="M35" s="64"/>
      <c r="N35" s="81"/>
      <c r="O35" s="57"/>
      <c r="Q35" s="100"/>
    </row>
    <row r="36" spans="1:17" x14ac:dyDescent="0.2">
      <c r="A36" s="17">
        <v>26</v>
      </c>
      <c r="B36" s="49" t="s">
        <v>54</v>
      </c>
      <c r="C36" s="50" t="s">
        <v>55</v>
      </c>
      <c r="D36" s="58">
        <v>342968</v>
      </c>
      <c r="E36" s="59">
        <v>188660.59</v>
      </c>
      <c r="F36" s="83"/>
      <c r="G36" s="84">
        <f>+'[1]comp &amp; ben fy17'!J12</f>
        <v>33418</v>
      </c>
      <c r="I36" s="84">
        <f>+'[1]comp &amp; ben fy17'!J10+'[1]comp &amp; ben fy17'!J11+'[1]comp &amp; ben fy17'!J13</f>
        <v>255991</v>
      </c>
      <c r="J36" s="85">
        <f>+'[1]comp &amp; ben fy17'!J14</f>
        <v>289409</v>
      </c>
      <c r="K36" s="85">
        <f>+'[1]comp &amp; ben fy17'!J14</f>
        <v>289409</v>
      </c>
      <c r="M36" s="64"/>
      <c r="N36" s="63"/>
      <c r="O36" s="57"/>
      <c r="Q36" s="100"/>
    </row>
    <row r="37" spans="1:17" x14ac:dyDescent="0.2">
      <c r="A37" s="17">
        <v>27</v>
      </c>
      <c r="B37" s="49" t="s">
        <v>56</v>
      </c>
      <c r="C37" s="50" t="s">
        <v>57</v>
      </c>
      <c r="D37" s="58">
        <v>2133553</v>
      </c>
      <c r="E37" s="59">
        <v>962006.91</v>
      </c>
      <c r="F37" s="83"/>
      <c r="G37" s="84">
        <f>+'[1]comp &amp; ben fy17'!J16+'[1]comp &amp; ben fy17'!J19</f>
        <v>72900</v>
      </c>
      <c r="H37" s="84">
        <f>+'[1]comp &amp; ben fy17'!J18</f>
        <v>58381</v>
      </c>
      <c r="I37" s="84">
        <f>+'[1]comp &amp; ben fy17'!J17+'[1]comp &amp; ben fy17'!J20+'[1]comp &amp; ben fy17'!J21+'[1]comp &amp; ben fy17'!J22</f>
        <v>160430</v>
      </c>
      <c r="J37" s="85">
        <f>+'[1]comp &amp; ben fy17'!J23</f>
        <v>291711</v>
      </c>
      <c r="K37" s="85">
        <f>+'[1]comp &amp; ben fy17'!J23</f>
        <v>291711</v>
      </c>
      <c r="M37" s="64"/>
      <c r="N37" s="63"/>
      <c r="O37" s="57"/>
      <c r="Q37" s="100"/>
    </row>
    <row r="38" spans="1:17" x14ac:dyDescent="0.2">
      <c r="A38" s="17">
        <v>28</v>
      </c>
      <c r="B38" s="49" t="s">
        <v>58</v>
      </c>
      <c r="C38" s="50" t="s">
        <v>59</v>
      </c>
      <c r="D38" s="58">
        <v>0</v>
      </c>
      <c r="E38" s="59">
        <v>66078.44</v>
      </c>
      <c r="F38" s="60"/>
      <c r="G38" s="61"/>
      <c r="H38" s="61"/>
      <c r="I38" s="61"/>
      <c r="J38" s="62"/>
      <c r="K38" s="62"/>
      <c r="M38" s="64"/>
      <c r="N38" s="63"/>
      <c r="O38" s="57"/>
      <c r="Q38" s="100"/>
    </row>
    <row r="39" spans="1:17" x14ac:dyDescent="0.2">
      <c r="A39" s="17">
        <v>29</v>
      </c>
      <c r="B39" s="49" t="s">
        <v>60</v>
      </c>
      <c r="C39" s="50" t="s">
        <v>61</v>
      </c>
      <c r="D39" s="59"/>
      <c r="E39" s="59"/>
      <c r="F39" s="60"/>
      <c r="G39" s="61"/>
      <c r="H39" s="61"/>
      <c r="I39" s="61"/>
      <c r="J39" s="62"/>
      <c r="K39" s="62"/>
      <c r="M39" s="64"/>
      <c r="N39" s="63"/>
      <c r="O39" s="57"/>
      <c r="Q39" s="100"/>
    </row>
    <row r="40" spans="1:17" x14ac:dyDescent="0.2">
      <c r="A40" s="17">
        <v>30</v>
      </c>
      <c r="B40" s="49" t="s">
        <v>62</v>
      </c>
      <c r="C40" s="50" t="s">
        <v>63</v>
      </c>
      <c r="D40" s="58"/>
      <c r="E40" s="59"/>
      <c r="F40" s="101"/>
      <c r="G40" s="102">
        <f>+'[1]comp &amp; ben fy17'!J25</f>
        <v>10400</v>
      </c>
      <c r="H40" s="102">
        <f>+'[1]comp &amp; ben fy17'!J26</f>
        <v>10400</v>
      </c>
      <c r="I40" s="102">
        <f>+'[1]comp &amp; ben fy17'!J27+'[1]comp &amp; ben fy17'!J28+'[1]comp &amp; ben fy17'!J29</f>
        <v>31200</v>
      </c>
      <c r="J40" s="103">
        <f>+'[1]comp &amp; ben fy17'!J30</f>
        <v>52000</v>
      </c>
      <c r="K40" s="103">
        <f>+'[1]comp &amp; ben fy17'!J30</f>
        <v>52000</v>
      </c>
      <c r="L40" s="104"/>
      <c r="M40" s="64"/>
      <c r="N40" s="63"/>
      <c r="O40" s="57"/>
      <c r="Q40" s="100"/>
    </row>
    <row r="41" spans="1:17" s="105" customFormat="1" x14ac:dyDescent="0.2">
      <c r="A41" s="17">
        <v>31</v>
      </c>
      <c r="B41" s="73" t="s">
        <v>64</v>
      </c>
      <c r="D41" s="74"/>
      <c r="E41" s="75"/>
      <c r="F41" s="33">
        <f>SUM(F31:F39)</f>
        <v>0</v>
      </c>
      <c r="G41" s="76">
        <f>SUM(G31:G40)</f>
        <v>525442</v>
      </c>
      <c r="H41" s="76">
        <f>SUM(H31:H40)</f>
        <v>291086</v>
      </c>
      <c r="I41" s="76">
        <f>SUM(I31:I40)</f>
        <v>1373892</v>
      </c>
      <c r="J41" s="77">
        <f>SUM(J31:J40)</f>
        <v>2190420</v>
      </c>
      <c r="K41" s="77">
        <f>SUM(K31:K40)</f>
        <v>2190420</v>
      </c>
      <c r="L41" s="46"/>
      <c r="M41" s="47"/>
      <c r="N41" s="31"/>
      <c r="O41" s="106"/>
      <c r="Q41" s="100"/>
    </row>
    <row r="42" spans="1:17" x14ac:dyDescent="0.2">
      <c r="A42" s="17">
        <v>32</v>
      </c>
      <c r="B42" s="49"/>
      <c r="C42" s="50"/>
      <c r="D42" s="58"/>
      <c r="E42" s="59"/>
      <c r="F42" s="60"/>
      <c r="G42" s="61"/>
      <c r="H42" s="61"/>
      <c r="I42" s="61"/>
      <c r="J42" s="62"/>
      <c r="K42" s="62"/>
      <c r="L42" s="63"/>
      <c r="M42" s="64"/>
      <c r="N42" s="40"/>
      <c r="O42" s="107"/>
      <c r="Q42" s="100"/>
    </row>
    <row r="43" spans="1:17" s="105" customFormat="1" x14ac:dyDescent="0.2">
      <c r="A43" s="17">
        <v>33</v>
      </c>
      <c r="B43" s="42" t="s">
        <v>65</v>
      </c>
      <c r="C43" s="73"/>
      <c r="D43" s="74">
        <v>0</v>
      </c>
      <c r="E43" s="75">
        <v>96643.91</v>
      </c>
      <c r="F43" s="33"/>
      <c r="G43" s="76">
        <f>+J43/44*10</f>
        <v>39377.074999999997</v>
      </c>
      <c r="H43" s="76">
        <f>+J43/44*6</f>
        <v>23626.244999999999</v>
      </c>
      <c r="I43" s="76">
        <f>+J43/44*28</f>
        <v>110255.81</v>
      </c>
      <c r="J43" s="77">
        <f>+'[1]comp &amp; ben fy17'!J69+'[1]comp &amp; ben fy17'!I86</f>
        <v>173259.13</v>
      </c>
      <c r="K43" s="77">
        <f>+'[1]comp &amp; ben fy17'!J69+'[1]comp &amp; ben fy17'!I86</f>
        <v>173259.13</v>
      </c>
      <c r="L43" s="46"/>
      <c r="M43" s="47"/>
      <c r="N43" s="31"/>
      <c r="O43" s="106"/>
      <c r="Q43" s="100"/>
    </row>
    <row r="44" spans="1:17" s="105" customFormat="1" x14ac:dyDescent="0.2">
      <c r="A44" s="17">
        <v>34</v>
      </c>
      <c r="B44" s="42" t="s">
        <v>66</v>
      </c>
      <c r="C44" s="73"/>
      <c r="D44" s="74">
        <v>0</v>
      </c>
      <c r="E44" s="75">
        <v>27776.57</v>
      </c>
      <c r="F44" s="33"/>
      <c r="G44" s="76"/>
      <c r="H44" s="76"/>
      <c r="I44" s="76"/>
      <c r="J44" s="108"/>
      <c r="K44" s="108"/>
      <c r="L44" s="46"/>
      <c r="M44" s="47"/>
      <c r="N44" s="31"/>
      <c r="O44" s="106"/>
      <c r="Q44" s="100"/>
    </row>
    <row r="45" spans="1:17" s="105" customFormat="1" x14ac:dyDescent="0.2">
      <c r="A45" s="17">
        <v>35</v>
      </c>
      <c r="B45" s="49" t="s">
        <v>67</v>
      </c>
      <c r="C45" s="50" t="s">
        <v>68</v>
      </c>
      <c r="D45" s="74"/>
      <c r="E45" s="75"/>
      <c r="F45" s="33"/>
      <c r="G45" s="61">
        <f>+J45/38*6</f>
        <v>30000</v>
      </c>
      <c r="H45" s="61">
        <f>+J45/38*5</f>
        <v>25000</v>
      </c>
      <c r="I45" s="61">
        <f>+J45/38*27</f>
        <v>135000</v>
      </c>
      <c r="J45" s="62">
        <f>+'[1]comp &amp; ben fy17'!I77</f>
        <v>190000</v>
      </c>
      <c r="K45" s="62">
        <f>+'[1]comp &amp; ben fy17'!I77</f>
        <v>190000</v>
      </c>
      <c r="L45" s="46"/>
      <c r="M45" s="47"/>
      <c r="N45" s="31"/>
      <c r="O45" s="106"/>
      <c r="Q45" s="100"/>
    </row>
    <row r="46" spans="1:17" s="105" customFormat="1" x14ac:dyDescent="0.2">
      <c r="A46" s="17">
        <v>36</v>
      </c>
      <c r="B46" s="49" t="s">
        <v>69</v>
      </c>
      <c r="C46" s="50" t="s">
        <v>70</v>
      </c>
      <c r="D46" s="74"/>
      <c r="E46" s="75"/>
      <c r="F46" s="33"/>
      <c r="G46" s="76"/>
      <c r="H46" s="76"/>
      <c r="I46" s="76"/>
      <c r="J46" s="62"/>
      <c r="K46" s="62"/>
      <c r="L46" s="46"/>
      <c r="M46" s="47"/>
      <c r="N46" s="31"/>
      <c r="O46" s="106"/>
      <c r="Q46" s="100"/>
    </row>
    <row r="47" spans="1:17" s="105" customFormat="1" x14ac:dyDescent="0.2">
      <c r="A47" s="17">
        <v>37</v>
      </c>
      <c r="B47" s="49" t="s">
        <v>71</v>
      </c>
      <c r="C47" s="50" t="s">
        <v>72</v>
      </c>
      <c r="D47" s="74"/>
      <c r="E47" s="75"/>
      <c r="F47" s="33"/>
      <c r="G47" s="76"/>
      <c r="H47" s="76"/>
      <c r="I47" s="76"/>
      <c r="J47" s="62"/>
      <c r="K47" s="62"/>
      <c r="L47" s="46"/>
      <c r="M47" s="47"/>
      <c r="N47" s="31"/>
      <c r="O47" s="106"/>
      <c r="Q47" s="100"/>
    </row>
    <row r="48" spans="1:17" s="105" customFormat="1" x14ac:dyDescent="0.2">
      <c r="A48" s="17">
        <v>38</v>
      </c>
      <c r="B48" s="49" t="s">
        <v>73</v>
      </c>
      <c r="C48" s="50" t="s">
        <v>74</v>
      </c>
      <c r="D48" s="74">
        <v>0</v>
      </c>
      <c r="E48" s="75">
        <v>27776.57</v>
      </c>
      <c r="F48" s="109"/>
      <c r="G48" s="110"/>
      <c r="H48" s="110"/>
      <c r="I48" s="110"/>
      <c r="J48" s="72">
        <f>+'[1]comp &amp; ben fy17'!I78</f>
        <v>21904.2</v>
      </c>
      <c r="K48" s="72">
        <f>+'[1]debt and banking fy16'!J9</f>
        <v>21904.2</v>
      </c>
      <c r="L48" s="46"/>
      <c r="M48" s="47"/>
      <c r="N48" s="31"/>
      <c r="O48" s="106"/>
      <c r="Q48" s="100"/>
    </row>
    <row r="49" spans="1:17" s="105" customFormat="1" x14ac:dyDescent="0.2">
      <c r="A49" s="17">
        <v>39</v>
      </c>
      <c r="B49" s="73" t="s">
        <v>75</v>
      </c>
      <c r="C49" s="50"/>
      <c r="D49" s="74"/>
      <c r="E49" s="75"/>
      <c r="F49" s="33"/>
      <c r="G49" s="76">
        <f>SUM(G45:G48)</f>
        <v>30000</v>
      </c>
      <c r="H49" s="76">
        <f>SUM(H45:H48)</f>
        <v>25000</v>
      </c>
      <c r="I49" s="76">
        <f>SUM(I45:I48)</f>
        <v>135000</v>
      </c>
      <c r="J49" s="77">
        <f>SUM(J45:J48)</f>
        <v>211904.2</v>
      </c>
      <c r="K49" s="77">
        <f>SUM(K45:K48)</f>
        <v>211904.2</v>
      </c>
      <c r="L49" s="46"/>
      <c r="M49" s="47"/>
      <c r="N49" s="31"/>
      <c r="O49" s="106"/>
      <c r="Q49" s="100"/>
    </row>
    <row r="50" spans="1:17" x14ac:dyDescent="0.2">
      <c r="A50" s="17">
        <v>40</v>
      </c>
      <c r="B50" s="42"/>
      <c r="C50" s="73"/>
      <c r="D50" s="59"/>
      <c r="E50" s="59"/>
      <c r="F50" s="62"/>
      <c r="G50" s="61"/>
      <c r="H50" s="61"/>
      <c r="I50" s="61"/>
      <c r="J50" s="62"/>
      <c r="K50" s="62"/>
      <c r="L50" s="63"/>
      <c r="M50" s="64"/>
      <c r="N50" s="40"/>
      <c r="O50" s="107"/>
      <c r="Q50" s="100"/>
    </row>
    <row r="51" spans="1:17" x14ac:dyDescent="0.2">
      <c r="A51" s="17">
        <v>41</v>
      </c>
      <c r="B51" s="42" t="s">
        <v>76</v>
      </c>
      <c r="C51" s="73"/>
      <c r="D51" s="58">
        <v>0</v>
      </c>
      <c r="E51" s="59">
        <v>5692.15</v>
      </c>
      <c r="F51" s="60"/>
      <c r="G51" s="61"/>
      <c r="H51" s="61"/>
      <c r="I51" s="61"/>
      <c r="J51" s="62"/>
      <c r="K51" s="62"/>
      <c r="L51" s="63"/>
      <c r="M51" s="64"/>
      <c r="N51" s="40"/>
      <c r="O51" s="107"/>
      <c r="Q51" s="100"/>
    </row>
    <row r="52" spans="1:17" x14ac:dyDescent="0.2">
      <c r="A52" s="17">
        <v>42</v>
      </c>
      <c r="B52" s="49" t="s">
        <v>77</v>
      </c>
      <c r="C52" s="50" t="s">
        <v>78</v>
      </c>
      <c r="D52" s="58">
        <v>0</v>
      </c>
      <c r="E52" s="59">
        <v>8366.5</v>
      </c>
      <c r="F52" s="83"/>
      <c r="H52" s="61"/>
      <c r="I52" s="61"/>
      <c r="J52" s="62"/>
      <c r="K52" s="62"/>
      <c r="L52" s="63"/>
      <c r="M52" s="64"/>
      <c r="N52" s="111" t="e">
        <f>#REF!/#REF!</f>
        <v>#REF!</v>
      </c>
      <c r="O52" s="107">
        <v>2007</v>
      </c>
      <c r="Q52" s="100"/>
    </row>
    <row r="53" spans="1:17" x14ac:dyDescent="0.2">
      <c r="A53" s="17">
        <v>43</v>
      </c>
      <c r="B53" s="49" t="s">
        <v>79</v>
      </c>
      <c r="C53" s="50" t="s">
        <v>80</v>
      </c>
      <c r="D53" s="58">
        <v>375326</v>
      </c>
      <c r="E53" s="59">
        <v>166843.35999999999</v>
      </c>
      <c r="F53" s="101"/>
      <c r="G53" s="71">
        <f>+J53/38*6</f>
        <v>6631.5789473684217</v>
      </c>
      <c r="H53" s="71">
        <f>+J53/38*5</f>
        <v>5526.3157894736842</v>
      </c>
      <c r="I53" s="71">
        <f>+J53/38*27</f>
        <v>29842.105263157897</v>
      </c>
      <c r="J53" s="72">
        <f>+[1]OtherPersonnel!H7</f>
        <v>42000</v>
      </c>
      <c r="K53" s="72">
        <f>+[1]OtherPersonnel!H7</f>
        <v>42000</v>
      </c>
      <c r="L53" s="63"/>
      <c r="M53" s="64"/>
      <c r="N53" s="112" t="e">
        <f>J53/#REF!</f>
        <v>#REF!</v>
      </c>
      <c r="O53" s="107">
        <v>2009</v>
      </c>
      <c r="Q53" s="100"/>
    </row>
    <row r="54" spans="1:17" s="105" customFormat="1" x14ac:dyDescent="0.2">
      <c r="A54" s="17">
        <v>44</v>
      </c>
      <c r="B54" s="73" t="s">
        <v>81</v>
      </c>
      <c r="C54" s="73"/>
      <c r="D54" s="74"/>
      <c r="E54" s="75"/>
      <c r="F54" s="83"/>
      <c r="G54" s="113">
        <f>SUM(G53)</f>
        <v>6631.5789473684217</v>
      </c>
      <c r="H54" s="113">
        <f>SUM(H53)</f>
        <v>5526.3157894736842</v>
      </c>
      <c r="I54" s="113">
        <f>SUM(I53)</f>
        <v>29842.105263157897</v>
      </c>
      <c r="J54" s="77">
        <f>SUM(J52:J53)</f>
        <v>42000</v>
      </c>
      <c r="K54" s="77">
        <f>SUM(K52:K53)</f>
        <v>42000</v>
      </c>
      <c r="L54" s="46"/>
      <c r="M54" s="47"/>
      <c r="N54" s="114"/>
      <c r="O54" s="115"/>
      <c r="Q54" s="100"/>
    </row>
    <row r="55" spans="1:17" x14ac:dyDescent="0.2">
      <c r="A55" s="17">
        <v>45</v>
      </c>
      <c r="B55" s="49"/>
      <c r="C55" s="50"/>
      <c r="D55" s="58"/>
      <c r="E55" s="59"/>
      <c r="F55" s="83"/>
      <c r="H55" s="61"/>
      <c r="I55" s="61"/>
      <c r="J55" s="62"/>
      <c r="K55" s="62"/>
      <c r="L55" s="63"/>
      <c r="M55" s="64"/>
      <c r="N55" s="81"/>
      <c r="O55" s="107"/>
      <c r="Q55" s="100"/>
    </row>
    <row r="56" spans="1:17" s="105" customFormat="1" x14ac:dyDescent="0.2">
      <c r="A56" s="17">
        <v>46</v>
      </c>
      <c r="B56" s="42" t="s">
        <v>82</v>
      </c>
      <c r="C56" s="73" t="s">
        <v>45</v>
      </c>
      <c r="D56" s="74">
        <v>0</v>
      </c>
      <c r="E56" s="75">
        <v>5114.84</v>
      </c>
      <c r="F56" s="83"/>
      <c r="G56" s="113">
        <f>+J56/4*1</f>
        <v>13250</v>
      </c>
      <c r="H56" s="113">
        <f>+J56/4*1</f>
        <v>13250</v>
      </c>
      <c r="I56" s="113">
        <f>+J56/4*2</f>
        <v>26500</v>
      </c>
      <c r="J56" s="77">
        <f>+[1]OtherPersonnel!H14</f>
        <v>53000</v>
      </c>
      <c r="K56" s="77">
        <f>+[1]OtherPersonnel!H14</f>
        <v>53000</v>
      </c>
      <c r="L56" s="46"/>
      <c r="M56" s="47"/>
      <c r="N56" s="30"/>
      <c r="O56" s="106"/>
      <c r="Q56" s="100"/>
    </row>
    <row r="57" spans="1:17" x14ac:dyDescent="0.2">
      <c r="A57" s="17">
        <v>47</v>
      </c>
      <c r="B57" s="50"/>
      <c r="C57" s="50"/>
      <c r="D57" s="59"/>
      <c r="E57" s="59"/>
      <c r="F57" s="85"/>
      <c r="H57" s="61"/>
      <c r="I57" s="61"/>
      <c r="J57" s="62"/>
      <c r="K57" s="62"/>
      <c r="L57" s="63"/>
      <c r="M57" s="64"/>
      <c r="N57" s="81"/>
      <c r="O57" s="107"/>
      <c r="Q57" s="100"/>
    </row>
    <row r="58" spans="1:17" x14ac:dyDescent="0.2">
      <c r="A58" s="17">
        <v>48</v>
      </c>
      <c r="B58" s="42" t="s">
        <v>83</v>
      </c>
      <c r="C58" s="50" t="s">
        <v>45</v>
      </c>
      <c r="D58" s="58">
        <v>0</v>
      </c>
      <c r="E58" s="59">
        <v>3591.29</v>
      </c>
      <c r="F58" s="60"/>
      <c r="G58" s="61"/>
      <c r="H58" s="61"/>
      <c r="I58" s="61"/>
      <c r="J58" s="62"/>
      <c r="K58" s="62"/>
      <c r="L58" s="63"/>
      <c r="M58" s="64"/>
      <c r="N58" s="81"/>
      <c r="O58" s="107"/>
      <c r="Q58" s="100"/>
    </row>
    <row r="59" spans="1:17" x14ac:dyDescent="0.2">
      <c r="A59" s="17">
        <v>49</v>
      </c>
      <c r="B59" s="49" t="s">
        <v>84</v>
      </c>
      <c r="C59" s="50" t="s">
        <v>85</v>
      </c>
      <c r="D59" s="58">
        <v>0</v>
      </c>
      <c r="E59" s="59">
        <v>36745.24</v>
      </c>
      <c r="F59" s="60"/>
      <c r="G59" s="61"/>
      <c r="H59" s="61"/>
      <c r="I59" s="61"/>
      <c r="J59" s="62"/>
      <c r="K59" s="62"/>
      <c r="L59" s="63"/>
      <c r="M59" s="64"/>
      <c r="N59" s="81"/>
      <c r="O59" s="107"/>
      <c r="Q59" s="100"/>
    </row>
    <row r="60" spans="1:17" x14ac:dyDescent="0.2">
      <c r="A60" s="17">
        <v>50</v>
      </c>
      <c r="B60" s="49" t="s">
        <v>86</v>
      </c>
      <c r="C60" s="50" t="s">
        <v>87</v>
      </c>
      <c r="D60" s="58">
        <v>0</v>
      </c>
      <c r="E60" s="59">
        <v>36745.24</v>
      </c>
      <c r="F60" s="60"/>
      <c r="G60" s="61"/>
      <c r="H60" s="61"/>
      <c r="I60" s="61"/>
      <c r="J60" s="62">
        <f>+[1]Capital!K7+[1]Capital!K10</f>
        <v>793000</v>
      </c>
      <c r="K60" s="62">
        <f>+[1]Capital!K7+[1]Capital!K10</f>
        <v>793000</v>
      </c>
      <c r="L60" s="63"/>
      <c r="M60" s="64"/>
      <c r="N60" s="81"/>
      <c r="O60" s="107"/>
      <c r="Q60" s="100"/>
    </row>
    <row r="61" spans="1:17" x14ac:dyDescent="0.2">
      <c r="A61" s="17">
        <v>51</v>
      </c>
      <c r="B61" s="49" t="s">
        <v>88</v>
      </c>
      <c r="C61" s="50" t="s">
        <v>89</v>
      </c>
      <c r="D61" s="58">
        <v>0</v>
      </c>
      <c r="E61" s="59">
        <v>7530.06</v>
      </c>
      <c r="F61" s="60"/>
      <c r="G61" s="61"/>
      <c r="H61" s="61"/>
      <c r="I61" s="61"/>
      <c r="J61" s="62">
        <v>0</v>
      </c>
      <c r="K61" s="62">
        <v>0</v>
      </c>
      <c r="L61" s="63"/>
      <c r="M61" s="64"/>
      <c r="N61" s="81"/>
      <c r="O61" s="107"/>
      <c r="Q61" s="100"/>
    </row>
    <row r="62" spans="1:17" x14ac:dyDescent="0.2">
      <c r="A62" s="17">
        <v>52</v>
      </c>
      <c r="B62" s="49" t="s">
        <v>90</v>
      </c>
      <c r="C62" s="50" t="s">
        <v>91</v>
      </c>
      <c r="D62" s="58">
        <v>0</v>
      </c>
      <c r="E62" s="59">
        <v>11067.92</v>
      </c>
      <c r="F62" s="60"/>
      <c r="G62" s="61"/>
      <c r="H62" s="61"/>
      <c r="I62" s="61"/>
      <c r="J62" s="62">
        <f>+'[1]Direct Student'!K9</f>
        <v>37500</v>
      </c>
      <c r="K62" s="62">
        <f>+'[1]Direct Student'!K9</f>
        <v>37500</v>
      </c>
      <c r="L62" s="63"/>
      <c r="M62" s="64"/>
      <c r="N62" s="116" t="e">
        <f>#REF!/#REF!</f>
        <v>#REF!</v>
      </c>
      <c r="O62" s="107">
        <v>2007</v>
      </c>
      <c r="Q62" s="100"/>
    </row>
    <row r="63" spans="1:17" x14ac:dyDescent="0.2">
      <c r="A63" s="17">
        <v>53</v>
      </c>
      <c r="B63" s="49" t="s">
        <v>92</v>
      </c>
      <c r="C63" s="50" t="s">
        <v>93</v>
      </c>
      <c r="D63" s="58">
        <v>689317</v>
      </c>
      <c r="E63" s="59">
        <v>230080.24</v>
      </c>
      <c r="F63" s="60"/>
      <c r="G63" s="61"/>
      <c r="H63" s="61"/>
      <c r="I63" s="61"/>
      <c r="J63" s="85">
        <f>+'[1]Direct Student'!K18</f>
        <v>175000</v>
      </c>
      <c r="K63" s="85">
        <f>+'[1]Direct Student'!K18</f>
        <v>175000</v>
      </c>
      <c r="L63" s="63"/>
      <c r="M63" s="64"/>
      <c r="N63" s="117" t="e">
        <f>J62/#REF!</f>
        <v>#REF!</v>
      </c>
      <c r="O63" s="107">
        <v>2009</v>
      </c>
      <c r="Q63" s="100"/>
    </row>
    <row r="64" spans="1:17" x14ac:dyDescent="0.2">
      <c r="A64" s="17">
        <v>54</v>
      </c>
      <c r="B64" s="49" t="s">
        <v>94</v>
      </c>
      <c r="C64" s="50" t="s">
        <v>95</v>
      </c>
      <c r="D64" s="58">
        <v>0</v>
      </c>
      <c r="E64" s="59">
        <v>15330.07</v>
      </c>
      <c r="F64" s="65"/>
      <c r="G64" s="66"/>
      <c r="H64" s="66"/>
      <c r="I64" s="66"/>
      <c r="J64" s="67">
        <v>0</v>
      </c>
      <c r="K64" s="67">
        <v>0</v>
      </c>
      <c r="L64" s="63"/>
      <c r="M64" s="64"/>
      <c r="N64" s="40"/>
      <c r="O64" s="107"/>
      <c r="Q64" s="100"/>
    </row>
    <row r="65" spans="1:17" x14ac:dyDescent="0.2">
      <c r="A65" s="17">
        <v>55</v>
      </c>
      <c r="B65" s="49" t="s">
        <v>96</v>
      </c>
      <c r="C65" s="50" t="s">
        <v>97</v>
      </c>
      <c r="D65" s="58">
        <v>0</v>
      </c>
      <c r="E65" s="59">
        <v>1279.43</v>
      </c>
      <c r="F65" s="65"/>
      <c r="G65" s="66"/>
      <c r="H65" s="66"/>
      <c r="I65" s="66"/>
      <c r="J65" s="67">
        <f>+[1]Capital!K53</f>
        <v>20000</v>
      </c>
      <c r="K65" s="67">
        <f>+[1]Capital!K53</f>
        <v>20000</v>
      </c>
      <c r="L65" s="63"/>
      <c r="M65" s="64"/>
      <c r="N65" s="40"/>
      <c r="O65" s="57"/>
      <c r="Q65" s="100"/>
    </row>
    <row r="66" spans="1:17" x14ac:dyDescent="0.2">
      <c r="A66" s="17">
        <v>56</v>
      </c>
      <c r="B66" s="49" t="s">
        <v>98</v>
      </c>
      <c r="C66" s="50" t="s">
        <v>99</v>
      </c>
      <c r="D66" s="58"/>
      <c r="E66" s="59"/>
      <c r="F66" s="65"/>
      <c r="G66" s="66"/>
      <c r="H66" s="66"/>
      <c r="I66" s="66"/>
      <c r="J66" s="67">
        <f>+'[1]Direct Student'!K15</f>
        <v>27500</v>
      </c>
      <c r="K66" s="67">
        <f>+'[1]Direct Student'!K15</f>
        <v>27500</v>
      </c>
      <c r="L66" s="63"/>
      <c r="M66" s="64"/>
      <c r="N66" s="40"/>
      <c r="O66" s="57"/>
      <c r="Q66" s="100"/>
    </row>
    <row r="67" spans="1:17" x14ac:dyDescent="0.2">
      <c r="A67" s="17">
        <v>57</v>
      </c>
      <c r="B67" s="49" t="s">
        <v>100</v>
      </c>
      <c r="C67" s="50" t="s">
        <v>101</v>
      </c>
      <c r="D67" s="58"/>
      <c r="E67" s="59"/>
      <c r="F67" s="70"/>
      <c r="G67" s="71"/>
      <c r="H67" s="71"/>
      <c r="I67" s="71"/>
      <c r="J67" s="72">
        <f>+'[1]Direct Student'!K16</f>
        <v>0</v>
      </c>
      <c r="K67" s="72">
        <f>+'[1]Direct Student'!K16</f>
        <v>0</v>
      </c>
      <c r="L67" s="63"/>
      <c r="M67" s="64"/>
      <c r="N67" s="40"/>
      <c r="O67" s="57"/>
      <c r="Q67" s="100"/>
    </row>
    <row r="68" spans="1:17" s="105" customFormat="1" x14ac:dyDescent="0.2">
      <c r="A68" s="17">
        <v>58</v>
      </c>
      <c r="B68" s="42" t="s">
        <v>102</v>
      </c>
      <c r="C68" s="73"/>
      <c r="D68" s="75"/>
      <c r="E68" s="75"/>
      <c r="F68" s="77">
        <f>SUM(F59:F65)</f>
        <v>0</v>
      </c>
      <c r="G68" s="76"/>
      <c r="H68" s="76"/>
      <c r="I68" s="76"/>
      <c r="J68" s="77">
        <f>SUM(J59:J65)</f>
        <v>1025500</v>
      </c>
      <c r="K68" s="77">
        <f>SUM(K59:K65)</f>
        <v>1025500</v>
      </c>
      <c r="L68" s="46"/>
      <c r="M68" s="47"/>
      <c r="N68" s="31"/>
      <c r="O68" s="41"/>
      <c r="Q68" s="100"/>
    </row>
    <row r="69" spans="1:17" x14ac:dyDescent="0.2">
      <c r="A69" s="17">
        <v>59</v>
      </c>
      <c r="B69" s="50"/>
      <c r="C69" s="50"/>
      <c r="D69" s="59"/>
      <c r="E69" s="59"/>
      <c r="F69" s="62"/>
      <c r="G69" s="61"/>
      <c r="H69" s="61"/>
      <c r="I69" s="61"/>
      <c r="J69" s="62"/>
      <c r="K69" s="62"/>
      <c r="L69" s="63"/>
      <c r="M69" s="64"/>
      <c r="N69" s="40"/>
      <c r="O69" s="57"/>
      <c r="Q69" s="100"/>
    </row>
    <row r="70" spans="1:17" x14ac:dyDescent="0.2">
      <c r="A70" s="17">
        <v>60</v>
      </c>
      <c r="B70" s="42" t="s">
        <v>103</v>
      </c>
      <c r="C70" s="50"/>
      <c r="D70" s="58"/>
      <c r="E70" s="59"/>
      <c r="F70" s="83"/>
      <c r="M70" s="64"/>
      <c r="N70" s="63" t="s">
        <v>45</v>
      </c>
      <c r="O70" s="57"/>
      <c r="Q70" s="100"/>
    </row>
    <row r="71" spans="1:17" x14ac:dyDescent="0.2">
      <c r="A71" s="17">
        <v>61</v>
      </c>
      <c r="B71" s="49" t="s">
        <v>104</v>
      </c>
      <c r="C71" s="50" t="s">
        <v>105</v>
      </c>
      <c r="D71" s="58">
        <v>0</v>
      </c>
      <c r="E71" s="59">
        <v>8113</v>
      </c>
      <c r="F71" s="60"/>
      <c r="G71" s="61"/>
      <c r="H71" s="61"/>
      <c r="I71" s="61"/>
      <c r="J71" s="62">
        <f>+[1]Occupancy!I10+[1]Leases!I16</f>
        <v>64800</v>
      </c>
      <c r="K71" s="62">
        <f>+[1]Occupancy!I10+[1]Leases!I16</f>
        <v>64800</v>
      </c>
      <c r="L71" s="63"/>
      <c r="M71" s="64"/>
      <c r="N71" s="118"/>
      <c r="O71" s="119"/>
      <c r="Q71" s="100"/>
    </row>
    <row r="72" spans="1:17" x14ac:dyDescent="0.2">
      <c r="A72" s="17">
        <v>62</v>
      </c>
      <c r="B72" s="49" t="s">
        <v>106</v>
      </c>
      <c r="C72" s="50" t="s">
        <v>107</v>
      </c>
      <c r="D72" s="58">
        <v>0</v>
      </c>
      <c r="E72" s="59">
        <v>17559</v>
      </c>
      <c r="F72" s="60"/>
      <c r="G72" s="61"/>
      <c r="H72" s="61"/>
      <c r="I72" s="61"/>
      <c r="J72" s="62">
        <f>+[1]Occupancy!I16</f>
        <v>15000</v>
      </c>
      <c r="K72" s="62">
        <f>+[1]Occupancy!I16</f>
        <v>15000</v>
      </c>
      <c r="L72" s="63"/>
      <c r="M72" s="64"/>
      <c r="N72" s="81"/>
      <c r="O72" s="57"/>
      <c r="Q72" s="100"/>
    </row>
    <row r="73" spans="1:17" x14ac:dyDescent="0.2">
      <c r="A73" s="17">
        <v>63</v>
      </c>
      <c r="B73" s="49" t="s">
        <v>108</v>
      </c>
      <c r="C73" s="50" t="s">
        <v>109</v>
      </c>
      <c r="D73" s="58">
        <v>0</v>
      </c>
      <c r="E73" s="59">
        <v>10580</v>
      </c>
      <c r="F73" s="60"/>
      <c r="G73" s="61"/>
      <c r="H73" s="61"/>
      <c r="I73" s="61"/>
      <c r="J73" s="62">
        <f>+[1]Occupancy!I22</f>
        <v>108300</v>
      </c>
      <c r="K73" s="62">
        <f>+[1]Occupancy!I22</f>
        <v>108300</v>
      </c>
      <c r="L73" s="63"/>
      <c r="M73" s="64"/>
      <c r="N73" s="81"/>
      <c r="O73" s="57"/>
      <c r="Q73" s="100"/>
    </row>
    <row r="74" spans="1:17" x14ac:dyDescent="0.2">
      <c r="A74" s="17">
        <v>64</v>
      </c>
      <c r="B74" s="49" t="s">
        <v>110</v>
      </c>
      <c r="C74" s="50" t="s">
        <v>111</v>
      </c>
      <c r="D74" s="58">
        <v>15500</v>
      </c>
      <c r="E74" s="59">
        <v>0</v>
      </c>
      <c r="F74" s="70"/>
      <c r="G74" s="71"/>
      <c r="H74" s="71"/>
      <c r="I74" s="71"/>
      <c r="J74" s="72">
        <f>+[1]Occupancy!I27</f>
        <v>7200</v>
      </c>
      <c r="K74" s="72">
        <f>+[1]Occupancy!I27</f>
        <v>7200</v>
      </c>
      <c r="L74" s="63"/>
      <c r="M74" s="64"/>
      <c r="N74" s="81"/>
      <c r="O74" s="57"/>
      <c r="Q74" s="100"/>
    </row>
    <row r="75" spans="1:17" s="105" customFormat="1" x14ac:dyDescent="0.2">
      <c r="A75" s="17">
        <v>65</v>
      </c>
      <c r="B75" s="42" t="s">
        <v>112</v>
      </c>
      <c r="C75" s="73"/>
      <c r="D75" s="75"/>
      <c r="E75" s="75"/>
      <c r="F75" s="77"/>
      <c r="G75" s="76"/>
      <c r="H75" s="76"/>
      <c r="I75" s="76"/>
      <c r="J75" s="77">
        <f>SUM(J71:J74)</f>
        <v>195300</v>
      </c>
      <c r="K75" s="77">
        <f>SUM(K71:K74)</f>
        <v>195300</v>
      </c>
      <c r="L75" s="46"/>
      <c r="M75" s="47"/>
      <c r="N75" s="30"/>
      <c r="O75" s="41"/>
      <c r="Q75" s="100"/>
    </row>
    <row r="76" spans="1:17" x14ac:dyDescent="0.2">
      <c r="A76" s="17">
        <v>66</v>
      </c>
      <c r="B76" s="50"/>
      <c r="C76" s="50"/>
      <c r="D76" s="59"/>
      <c r="E76" s="59"/>
      <c r="F76" s="62"/>
      <c r="G76" s="61"/>
      <c r="H76" s="61"/>
      <c r="I76" s="61"/>
      <c r="J76" s="62"/>
      <c r="K76" s="62"/>
      <c r="L76" s="63"/>
      <c r="M76" s="64"/>
      <c r="N76" s="81"/>
      <c r="O76" s="57"/>
      <c r="Q76" s="100"/>
    </row>
    <row r="77" spans="1:17" s="105" customFormat="1" x14ac:dyDescent="0.2">
      <c r="A77" s="17">
        <v>67</v>
      </c>
      <c r="B77" s="42" t="s">
        <v>113</v>
      </c>
      <c r="C77" s="73" t="s">
        <v>45</v>
      </c>
      <c r="D77" s="75"/>
      <c r="E77" s="75"/>
      <c r="F77" s="33"/>
      <c r="G77" s="76"/>
      <c r="H77" s="76"/>
      <c r="I77" s="76"/>
      <c r="J77" s="77">
        <f>+[1]Occupancy!I34</f>
        <v>966900</v>
      </c>
      <c r="K77" s="77">
        <f>+[1]Occupancy!I34</f>
        <v>966900</v>
      </c>
      <c r="L77" s="46"/>
      <c r="M77" s="47"/>
      <c r="N77" s="30"/>
      <c r="O77" s="41"/>
      <c r="Q77" s="100"/>
    </row>
    <row r="78" spans="1:17" s="105" customFormat="1" x14ac:dyDescent="0.2">
      <c r="A78" s="17">
        <v>68</v>
      </c>
      <c r="B78" s="73" t="s">
        <v>114</v>
      </c>
      <c r="C78" s="73"/>
      <c r="D78" s="75"/>
      <c r="E78" s="75"/>
      <c r="F78" s="120"/>
      <c r="G78" s="113"/>
      <c r="H78" s="113"/>
      <c r="I78" s="113"/>
      <c r="J78" s="121">
        <f>SUM([1]Capital!L61)</f>
        <v>65333.333333333336</v>
      </c>
      <c r="K78" s="121">
        <f>SUM([1]Capital!L61)</f>
        <v>65333.333333333336</v>
      </c>
      <c r="L78" s="46"/>
      <c r="M78" s="47"/>
      <c r="N78" s="30"/>
      <c r="O78" s="41"/>
      <c r="Q78" s="100"/>
    </row>
    <row r="79" spans="1:17" x14ac:dyDescent="0.2">
      <c r="A79" s="17">
        <v>69</v>
      </c>
      <c r="B79" s="50"/>
      <c r="C79" s="50"/>
      <c r="D79" s="59"/>
      <c r="E79" s="59"/>
      <c r="F79" s="62"/>
      <c r="G79" s="61"/>
      <c r="H79" s="61"/>
      <c r="I79" s="61"/>
      <c r="J79" s="62"/>
      <c r="K79" s="62"/>
      <c r="L79" s="63"/>
      <c r="M79" s="64"/>
      <c r="N79" s="81"/>
      <c r="O79" s="57"/>
      <c r="Q79" s="100"/>
    </row>
    <row r="80" spans="1:17" s="105" customFormat="1" x14ac:dyDescent="0.2">
      <c r="A80" s="17">
        <v>70</v>
      </c>
      <c r="B80" s="42" t="s">
        <v>115</v>
      </c>
      <c r="C80" s="73" t="s">
        <v>45</v>
      </c>
      <c r="D80" s="74">
        <v>0</v>
      </c>
      <c r="E80" s="75">
        <v>135.75</v>
      </c>
      <c r="F80" s="33"/>
      <c r="G80" s="76"/>
      <c r="H80" s="76"/>
      <c r="I80" s="76"/>
      <c r="J80" s="77"/>
      <c r="K80" s="77"/>
      <c r="L80" s="46"/>
      <c r="M80" s="47"/>
      <c r="N80" s="30"/>
      <c r="O80" s="41"/>
      <c r="Q80" s="100"/>
    </row>
    <row r="81" spans="1:17" x14ac:dyDescent="0.2">
      <c r="A81" s="17">
        <v>71</v>
      </c>
      <c r="B81" s="49" t="s">
        <v>116</v>
      </c>
      <c r="C81" s="50" t="s">
        <v>117</v>
      </c>
      <c r="D81" s="58">
        <v>25000</v>
      </c>
      <c r="E81" s="59">
        <v>2899</v>
      </c>
      <c r="F81" s="60"/>
      <c r="G81" s="61"/>
      <c r="H81" s="61"/>
      <c r="I81" s="61"/>
      <c r="J81" s="62">
        <v>0</v>
      </c>
      <c r="K81" s="62">
        <v>0</v>
      </c>
      <c r="L81" s="63"/>
      <c r="M81" s="64"/>
      <c r="N81" s="81"/>
      <c r="O81" s="57"/>
      <c r="Q81" s="100"/>
    </row>
    <row r="82" spans="1:17" ht="12.75" customHeight="1" x14ac:dyDescent="0.2">
      <c r="A82" s="17">
        <v>72</v>
      </c>
      <c r="B82" s="49" t="s">
        <v>118</v>
      </c>
      <c r="C82" s="50" t="s">
        <v>119</v>
      </c>
      <c r="D82" s="58">
        <v>0</v>
      </c>
      <c r="E82" s="59">
        <v>12809</v>
      </c>
      <c r="F82" s="60"/>
      <c r="G82" s="61"/>
      <c r="H82" s="61"/>
      <c r="I82" s="61"/>
      <c r="J82" s="62">
        <f>+'[1]Office '!I10</f>
        <v>120000</v>
      </c>
      <c r="K82" s="62">
        <f>+'[1]Office '!I10</f>
        <v>120000</v>
      </c>
      <c r="L82" s="63"/>
      <c r="M82" s="64"/>
      <c r="O82" s="122"/>
      <c r="Q82" s="100"/>
    </row>
    <row r="83" spans="1:17" ht="12.75" customHeight="1" x14ac:dyDescent="0.2">
      <c r="A83" s="17">
        <v>73</v>
      </c>
      <c r="B83" s="49" t="s">
        <v>120</v>
      </c>
      <c r="C83" s="50" t="s">
        <v>121</v>
      </c>
      <c r="D83" s="59"/>
      <c r="E83" s="59"/>
      <c r="F83" s="60"/>
      <c r="G83" s="61"/>
      <c r="H83" s="61"/>
      <c r="I83" s="61"/>
      <c r="J83" s="62"/>
      <c r="K83" s="62"/>
      <c r="L83" s="123"/>
      <c r="M83" s="124"/>
      <c r="N83" s="125"/>
      <c r="O83" s="122"/>
      <c r="Q83" s="100"/>
    </row>
    <row r="84" spans="1:17" ht="12.75" customHeight="1" x14ac:dyDescent="0.2">
      <c r="A84" s="17">
        <v>74</v>
      </c>
      <c r="B84" s="49" t="s">
        <v>122</v>
      </c>
      <c r="C84" s="50" t="s">
        <v>123</v>
      </c>
      <c r="D84" s="59"/>
      <c r="E84" s="59"/>
      <c r="F84" s="60"/>
      <c r="G84" s="61"/>
      <c r="H84" s="61"/>
      <c r="I84" s="61"/>
      <c r="J84" s="62">
        <f>+[1]Capital!K18</f>
        <v>25000</v>
      </c>
      <c r="K84" s="62">
        <f>+[1]Capital!K18</f>
        <v>25000</v>
      </c>
      <c r="L84" s="123"/>
      <c r="M84" s="124"/>
      <c r="N84" s="125"/>
      <c r="O84" s="122"/>
      <c r="Q84" s="100"/>
    </row>
    <row r="85" spans="1:17" ht="12.75" customHeight="1" x14ac:dyDescent="0.2">
      <c r="A85" s="17">
        <v>75</v>
      </c>
      <c r="B85" s="49" t="s">
        <v>124</v>
      </c>
      <c r="C85" s="50" t="s">
        <v>125</v>
      </c>
      <c r="D85" s="59"/>
      <c r="E85" s="59"/>
      <c r="F85" s="60"/>
      <c r="G85" s="61"/>
      <c r="H85" s="61"/>
      <c r="I85" s="61"/>
      <c r="J85" s="72">
        <f>+'[1]Office '!I16</f>
        <v>14000</v>
      </c>
      <c r="K85" s="72">
        <f>+'[1]Office '!I16</f>
        <v>14000</v>
      </c>
      <c r="L85" s="123"/>
      <c r="M85" s="124"/>
      <c r="N85" s="125"/>
      <c r="O85" s="122"/>
      <c r="Q85" s="100"/>
    </row>
    <row r="86" spans="1:17" ht="12.75" customHeight="1" x14ac:dyDescent="0.2">
      <c r="A86" s="17">
        <v>76</v>
      </c>
      <c r="B86" s="42" t="s">
        <v>126</v>
      </c>
      <c r="C86" s="50"/>
      <c r="D86" s="59"/>
      <c r="E86" s="59"/>
      <c r="F86" s="60"/>
      <c r="G86" s="61"/>
      <c r="H86" s="61"/>
      <c r="I86" s="61"/>
      <c r="J86" s="62">
        <f>SUM(J84:J85)</f>
        <v>39000</v>
      </c>
      <c r="K86" s="62">
        <f>SUM(K84:K85)</f>
        <v>39000</v>
      </c>
      <c r="L86" s="123"/>
      <c r="M86" s="124"/>
      <c r="N86" s="125"/>
      <c r="O86" s="122"/>
      <c r="Q86" s="100"/>
    </row>
    <row r="87" spans="1:17" ht="12.75" customHeight="1" x14ac:dyDescent="0.2">
      <c r="A87" s="17">
        <v>77</v>
      </c>
      <c r="B87" s="49"/>
      <c r="C87" s="50"/>
      <c r="D87" s="59"/>
      <c r="E87" s="59"/>
      <c r="F87" s="60"/>
      <c r="G87" s="61"/>
      <c r="H87" s="61"/>
      <c r="I87" s="61"/>
      <c r="J87" s="62"/>
      <c r="K87" s="62"/>
      <c r="L87" s="123"/>
      <c r="M87" s="124"/>
      <c r="N87" s="125"/>
      <c r="O87" s="122"/>
      <c r="Q87" s="100"/>
    </row>
    <row r="88" spans="1:17" x14ac:dyDescent="0.2">
      <c r="A88" s="17">
        <v>78</v>
      </c>
      <c r="B88" s="49" t="s">
        <v>127</v>
      </c>
      <c r="C88" s="50" t="s">
        <v>128</v>
      </c>
      <c r="D88" s="59">
        <v>25000</v>
      </c>
      <c r="E88" s="59">
        <v>2239.5</v>
      </c>
      <c r="F88" s="60"/>
      <c r="G88" s="61"/>
      <c r="H88" s="61"/>
      <c r="I88" s="61"/>
      <c r="J88" s="62">
        <v>0</v>
      </c>
      <c r="K88" s="62">
        <v>0</v>
      </c>
      <c r="L88" s="123"/>
      <c r="M88" s="124"/>
      <c r="N88" s="40"/>
      <c r="O88" s="57"/>
      <c r="Q88" s="100"/>
    </row>
    <row r="89" spans="1:17" x14ac:dyDescent="0.2">
      <c r="A89" s="17">
        <v>79</v>
      </c>
      <c r="B89" s="49" t="s">
        <v>129</v>
      </c>
      <c r="C89" s="50" t="s">
        <v>130</v>
      </c>
      <c r="D89" s="58">
        <v>0</v>
      </c>
      <c r="E89" s="59">
        <v>2891</v>
      </c>
      <c r="F89" s="60"/>
      <c r="G89" s="61"/>
      <c r="H89" s="61"/>
      <c r="I89" s="61"/>
      <c r="J89" s="62">
        <f>+'[1]Office '!I26</f>
        <v>12576</v>
      </c>
      <c r="K89" s="62">
        <f>+'[1]Office '!I26</f>
        <v>12576</v>
      </c>
      <c r="L89" s="63"/>
      <c r="M89" s="64"/>
      <c r="N89" s="40"/>
      <c r="O89" s="57"/>
      <c r="Q89" s="100"/>
    </row>
    <row r="90" spans="1:17" x14ac:dyDescent="0.2">
      <c r="A90" s="17">
        <v>80</v>
      </c>
      <c r="B90" s="49" t="s">
        <v>131</v>
      </c>
      <c r="C90" s="50" t="s">
        <v>132</v>
      </c>
      <c r="D90" s="58">
        <v>0</v>
      </c>
      <c r="E90" s="59">
        <v>5583.38</v>
      </c>
      <c r="F90" s="60"/>
      <c r="G90" s="61"/>
      <c r="H90" s="61"/>
      <c r="I90" s="61"/>
      <c r="J90" s="62">
        <f>+'[1]Office '!I33</f>
        <v>10000</v>
      </c>
      <c r="K90" s="62">
        <f>+'[1]Office '!I33</f>
        <v>10000</v>
      </c>
      <c r="L90" s="63"/>
      <c r="M90" s="64"/>
      <c r="N90" s="86"/>
      <c r="O90" s="79"/>
      <c r="Q90" s="100"/>
    </row>
    <row r="91" spans="1:17" x14ac:dyDescent="0.2">
      <c r="A91" s="17">
        <v>81</v>
      </c>
      <c r="B91" s="49" t="s">
        <v>133</v>
      </c>
      <c r="C91" s="50" t="s">
        <v>134</v>
      </c>
      <c r="D91" s="58">
        <v>159250</v>
      </c>
      <c r="E91" s="59">
        <v>0</v>
      </c>
      <c r="F91" s="65"/>
      <c r="G91" s="66"/>
      <c r="H91" s="66"/>
      <c r="I91" s="66"/>
      <c r="J91" s="67">
        <f>+'[1]Office '!I33</f>
        <v>10000</v>
      </c>
      <c r="K91" s="67">
        <f>+'[1]Office '!I33</f>
        <v>10000</v>
      </c>
      <c r="L91" s="68"/>
      <c r="M91" s="69"/>
      <c r="N91" s="40"/>
      <c r="O91" s="57"/>
      <c r="Q91" s="100"/>
    </row>
    <row r="92" spans="1:17" x14ac:dyDescent="0.2">
      <c r="A92" s="17">
        <v>82</v>
      </c>
      <c r="B92" s="49" t="s">
        <v>135</v>
      </c>
      <c r="C92" s="82" t="s">
        <v>136</v>
      </c>
      <c r="D92" s="92"/>
      <c r="E92" s="93"/>
      <c r="F92" s="126"/>
      <c r="G92" s="127"/>
      <c r="H92" s="127"/>
      <c r="I92" s="127"/>
      <c r="J92" s="128">
        <f>+[1]Leases!I7+[1]Leases!I11</f>
        <v>9900</v>
      </c>
      <c r="K92" s="128">
        <f>+[1]Leases!I7+[1]Leases!I11</f>
        <v>9900</v>
      </c>
      <c r="L92" s="63"/>
      <c r="M92" s="63"/>
      <c r="Q92" s="100"/>
    </row>
    <row r="93" spans="1:17" x14ac:dyDescent="0.2">
      <c r="A93" s="17">
        <v>83</v>
      </c>
      <c r="B93" s="91" t="s">
        <v>137</v>
      </c>
      <c r="C93" s="50" t="s">
        <v>138</v>
      </c>
      <c r="D93" s="74">
        <f>ROUND(SUBTOTAL(9, D23:D92), 5)</f>
        <v>4495159</v>
      </c>
      <c r="E93" s="75">
        <f>ROUND(SUBTOTAL(9, E23:E92), 5)</f>
        <v>2524407.06</v>
      </c>
      <c r="F93" s="70"/>
      <c r="G93" s="71"/>
      <c r="H93" s="71"/>
      <c r="I93" s="71"/>
      <c r="J93" s="72">
        <f>+'[1]Office '!I46</f>
        <v>20000</v>
      </c>
      <c r="K93" s="72">
        <f>+'[1]Office '!I46</f>
        <v>20000</v>
      </c>
      <c r="L93" s="46" t="e">
        <f>(#REF!-#REF!)/#REF!</f>
        <v>#REF!</v>
      </c>
      <c r="M93" s="47"/>
      <c r="N93" s="40"/>
      <c r="O93" s="41"/>
      <c r="Q93" s="100"/>
    </row>
    <row r="94" spans="1:17" s="105" customFormat="1" x14ac:dyDescent="0.2">
      <c r="A94" s="17">
        <v>84</v>
      </c>
      <c r="B94" s="42" t="s">
        <v>139</v>
      </c>
      <c r="C94" s="30"/>
      <c r="D94" s="31"/>
      <c r="E94" s="30"/>
      <c r="F94" s="129"/>
      <c r="G94" s="35"/>
      <c r="H94" s="35"/>
      <c r="I94" s="35"/>
      <c r="J94" s="44">
        <f>+J81+J82+J86+J88+J89+J90+J91+J92+J93</f>
        <v>221476</v>
      </c>
      <c r="K94" s="44">
        <f>+K81+K82+K86+K88+K89+K90+K91+K92+K93</f>
        <v>221476</v>
      </c>
      <c r="L94" s="46"/>
      <c r="M94" s="47"/>
      <c r="N94" s="31"/>
      <c r="O94" s="41"/>
      <c r="Q94" s="100"/>
    </row>
    <row r="95" spans="1:17" x14ac:dyDescent="0.2">
      <c r="A95" s="17">
        <v>85</v>
      </c>
      <c r="B95" s="73"/>
      <c r="C95" s="30"/>
      <c r="D95" s="30"/>
      <c r="E95" s="30"/>
      <c r="F95" s="77"/>
      <c r="G95" s="76"/>
      <c r="H95" s="76"/>
      <c r="I95" s="76"/>
      <c r="J95" s="77"/>
      <c r="K95" s="77"/>
      <c r="L95" s="46"/>
      <c r="M95" s="47"/>
      <c r="N95" s="40"/>
      <c r="O95" s="41"/>
      <c r="Q95" s="100"/>
    </row>
    <row r="96" spans="1:17" s="105" customFormat="1" x14ac:dyDescent="0.2">
      <c r="A96" s="17">
        <v>86</v>
      </c>
      <c r="B96" s="42" t="s">
        <v>140</v>
      </c>
      <c r="C96" s="73"/>
      <c r="D96" s="74"/>
      <c r="E96" s="75"/>
      <c r="F96" s="130"/>
      <c r="G96" s="113"/>
      <c r="H96" s="113"/>
      <c r="I96" s="113"/>
      <c r="J96" s="121"/>
      <c r="K96" s="121"/>
      <c r="L96" s="46"/>
      <c r="M96" s="47"/>
      <c r="N96" s="31"/>
      <c r="O96" s="41"/>
      <c r="Q96" s="100"/>
    </row>
    <row r="97" spans="1:17" x14ac:dyDescent="0.2">
      <c r="A97" s="17">
        <v>87</v>
      </c>
      <c r="B97" s="49" t="s">
        <v>141</v>
      </c>
      <c r="C97" s="50" t="s">
        <v>142</v>
      </c>
      <c r="D97" s="58">
        <v>47000</v>
      </c>
      <c r="E97" s="59">
        <v>649.48</v>
      </c>
      <c r="F97" s="60"/>
      <c r="G97" s="61"/>
      <c r="H97" s="61"/>
      <c r="I97" s="61"/>
      <c r="J97" s="62">
        <f>+[1]ProfessionalFees!H10</f>
        <v>67200</v>
      </c>
      <c r="K97" s="62">
        <f>+[1]ProfessionalFees!H10</f>
        <v>67200</v>
      </c>
      <c r="L97" s="63"/>
      <c r="M97" s="64"/>
      <c r="N97" s="40"/>
      <c r="O97" s="57"/>
      <c r="Q97" s="100"/>
    </row>
    <row r="98" spans="1:17" x14ac:dyDescent="0.2">
      <c r="A98" s="17">
        <v>88</v>
      </c>
      <c r="B98" s="49" t="s">
        <v>143</v>
      </c>
      <c r="C98" s="50" t="s">
        <v>144</v>
      </c>
      <c r="D98" s="58">
        <v>5000</v>
      </c>
      <c r="E98" s="59">
        <v>269.81</v>
      </c>
      <c r="F98" s="60"/>
      <c r="G98" s="61"/>
      <c r="H98" s="61"/>
      <c r="I98" s="61"/>
      <c r="J98" s="62">
        <f>+[1]ProfessionalFees!H15</f>
        <v>84000</v>
      </c>
      <c r="K98" s="62">
        <f>+[1]ProfessionalFees!H15</f>
        <v>84000</v>
      </c>
      <c r="L98" s="123"/>
      <c r="M98" s="124"/>
      <c r="N98" s="40"/>
      <c r="O98" s="57"/>
      <c r="Q98" s="100"/>
    </row>
    <row r="99" spans="1:17" x14ac:dyDescent="0.2">
      <c r="A99" s="17">
        <v>89</v>
      </c>
      <c r="B99" s="49" t="s">
        <v>145</v>
      </c>
      <c r="C99" s="50" t="s">
        <v>146</v>
      </c>
      <c r="D99" s="58"/>
      <c r="E99" s="59"/>
      <c r="F99" s="60"/>
      <c r="G99" s="61"/>
      <c r="H99" s="61"/>
      <c r="I99" s="61"/>
      <c r="J99" s="62">
        <f>+[1]ProfessionalFees!H22</f>
        <v>6650</v>
      </c>
      <c r="K99" s="62">
        <f>+[1]ProfessionalFees!H22</f>
        <v>6650</v>
      </c>
      <c r="L99" s="123"/>
      <c r="M99" s="124"/>
      <c r="N99" s="40"/>
      <c r="O99" s="57"/>
      <c r="Q99" s="100"/>
    </row>
    <row r="100" spans="1:17" x14ac:dyDescent="0.2">
      <c r="A100" s="17">
        <v>90</v>
      </c>
      <c r="B100" s="49" t="s">
        <v>147</v>
      </c>
      <c r="C100" s="50" t="s">
        <v>148</v>
      </c>
      <c r="D100" s="58">
        <v>0</v>
      </c>
      <c r="E100" s="59">
        <v>129.53</v>
      </c>
      <c r="F100" s="60"/>
      <c r="G100" s="61"/>
      <c r="H100" s="61"/>
      <c r="I100" s="61"/>
      <c r="J100" s="62">
        <v>0</v>
      </c>
      <c r="K100" s="62">
        <v>0</v>
      </c>
      <c r="L100" s="63"/>
      <c r="M100" s="64"/>
      <c r="N100" s="40"/>
      <c r="O100" s="57"/>
      <c r="Q100" s="100"/>
    </row>
    <row r="101" spans="1:17" x14ac:dyDescent="0.2">
      <c r="A101" s="17">
        <v>91</v>
      </c>
      <c r="B101" s="50" t="s">
        <v>149</v>
      </c>
      <c r="C101" s="50" t="s">
        <v>150</v>
      </c>
      <c r="D101" s="58">
        <v>0</v>
      </c>
      <c r="E101" s="59">
        <v>14199.9</v>
      </c>
      <c r="F101" s="65"/>
      <c r="G101" s="66"/>
      <c r="H101" s="66"/>
      <c r="I101" s="66"/>
      <c r="J101" s="67">
        <v>0</v>
      </c>
      <c r="K101" s="67">
        <v>0</v>
      </c>
      <c r="L101" s="123"/>
      <c r="M101" s="124"/>
      <c r="N101" s="86"/>
      <c r="O101" s="79"/>
      <c r="Q101" s="100"/>
    </row>
    <row r="102" spans="1:17" x14ac:dyDescent="0.2">
      <c r="A102" s="17">
        <v>92</v>
      </c>
      <c r="B102" s="50" t="s">
        <v>151</v>
      </c>
      <c r="C102" s="50" t="s">
        <v>152</v>
      </c>
      <c r="D102" s="58"/>
      <c r="E102" s="59"/>
      <c r="F102" s="65"/>
      <c r="G102" s="66"/>
      <c r="H102" s="66"/>
      <c r="I102" s="66"/>
      <c r="J102" s="67"/>
      <c r="K102" s="67"/>
      <c r="L102" s="123"/>
      <c r="M102" s="124"/>
      <c r="N102" s="86"/>
      <c r="O102" s="79"/>
      <c r="Q102" s="100"/>
    </row>
    <row r="103" spans="1:17" x14ac:dyDescent="0.2">
      <c r="A103" s="17">
        <v>93</v>
      </c>
      <c r="B103" s="50" t="s">
        <v>153</v>
      </c>
      <c r="C103" s="50" t="s">
        <v>154</v>
      </c>
      <c r="D103" s="58"/>
      <c r="E103" s="59"/>
      <c r="F103" s="70"/>
      <c r="G103" s="71"/>
      <c r="H103" s="71"/>
      <c r="I103" s="71"/>
      <c r="J103" s="72"/>
      <c r="K103" s="72"/>
      <c r="L103" s="123"/>
      <c r="M103" s="124"/>
      <c r="N103" s="86"/>
      <c r="O103" s="79"/>
      <c r="Q103" s="100"/>
    </row>
    <row r="104" spans="1:17" s="105" customFormat="1" x14ac:dyDescent="0.2">
      <c r="A104" s="17">
        <v>94</v>
      </c>
      <c r="B104" s="42" t="s">
        <v>155</v>
      </c>
      <c r="C104" s="131"/>
      <c r="D104" s="75"/>
      <c r="E104" s="75"/>
      <c r="F104" s="33"/>
      <c r="G104" s="76"/>
      <c r="H104" s="76"/>
      <c r="I104" s="76"/>
      <c r="J104" s="77">
        <f>SUM(J97:J101)</f>
        <v>157850</v>
      </c>
      <c r="K104" s="77">
        <f>SUM(K97:K101)</f>
        <v>157850</v>
      </c>
      <c r="L104" s="132"/>
      <c r="M104" s="133"/>
      <c r="N104" s="114"/>
      <c r="O104" s="79"/>
      <c r="Q104" s="100"/>
    </row>
    <row r="105" spans="1:17" x14ac:dyDescent="0.2">
      <c r="A105" s="17">
        <v>95</v>
      </c>
      <c r="B105" s="50"/>
      <c r="C105" s="50"/>
      <c r="D105" s="59"/>
      <c r="E105" s="59"/>
      <c r="F105" s="62"/>
      <c r="G105" s="61"/>
      <c r="H105" s="61"/>
      <c r="I105" s="61"/>
      <c r="J105" s="62"/>
      <c r="K105" s="62"/>
      <c r="L105" s="123"/>
      <c r="M105" s="124"/>
      <c r="N105" s="118"/>
      <c r="O105" s="79"/>
      <c r="Q105" s="100"/>
    </row>
    <row r="106" spans="1:17" s="105" customFormat="1" x14ac:dyDescent="0.2">
      <c r="A106" s="17">
        <v>96</v>
      </c>
      <c r="B106" s="73" t="s">
        <v>156</v>
      </c>
      <c r="C106" s="73"/>
      <c r="D106" s="75"/>
      <c r="E106" s="75"/>
      <c r="F106" s="77"/>
      <c r="G106" s="76"/>
      <c r="H106" s="76"/>
      <c r="I106" s="76"/>
      <c r="J106" s="77"/>
      <c r="K106" s="77"/>
      <c r="L106" s="132"/>
      <c r="M106" s="133"/>
      <c r="N106" s="114" t="s">
        <v>45</v>
      </c>
      <c r="O106" s="79"/>
      <c r="Q106" s="100"/>
    </row>
    <row r="107" spans="1:17" x14ac:dyDescent="0.2">
      <c r="A107" s="17">
        <v>97</v>
      </c>
      <c r="B107" s="50" t="s">
        <v>157</v>
      </c>
      <c r="C107" s="50" t="s">
        <v>158</v>
      </c>
      <c r="D107" s="59">
        <v>5000</v>
      </c>
      <c r="E107" s="59">
        <v>963.67</v>
      </c>
      <c r="F107" s="60"/>
      <c r="G107" s="61"/>
      <c r="H107" s="61"/>
      <c r="I107" s="61"/>
      <c r="J107" s="62">
        <f>+[1]ProfessionalFees!H29</f>
        <v>9000</v>
      </c>
      <c r="K107" s="62">
        <f>+[1]ProfessionalFees!H29</f>
        <v>9000</v>
      </c>
      <c r="L107" s="123"/>
      <c r="M107" s="124"/>
      <c r="N107" s="81"/>
      <c r="O107" s="57"/>
      <c r="Q107" s="100"/>
    </row>
    <row r="108" spans="1:17" x14ac:dyDescent="0.2">
      <c r="A108" s="17">
        <v>98</v>
      </c>
      <c r="B108" s="50" t="s">
        <v>159</v>
      </c>
      <c r="C108" s="50" t="s">
        <v>160</v>
      </c>
      <c r="D108" s="59">
        <v>5000</v>
      </c>
      <c r="E108" s="59">
        <v>0</v>
      </c>
      <c r="F108" s="60"/>
      <c r="G108" s="61"/>
      <c r="H108" s="61"/>
      <c r="I108" s="61"/>
      <c r="J108" s="62">
        <f>+'[1]debt and banking fy16'!H10</f>
        <v>1061.1200000000001</v>
      </c>
      <c r="K108" s="62">
        <f>+'[1]debt and banking fy16'!H10</f>
        <v>1061.1200000000001</v>
      </c>
      <c r="L108" s="123"/>
      <c r="M108" s="124"/>
      <c r="N108" s="81"/>
      <c r="O108" s="57"/>
      <c r="Q108" s="100"/>
    </row>
    <row r="109" spans="1:17" x14ac:dyDescent="0.2">
      <c r="A109" s="17">
        <v>99</v>
      </c>
      <c r="B109" s="50" t="s">
        <v>161</v>
      </c>
      <c r="C109" s="50" t="s">
        <v>162</v>
      </c>
      <c r="D109" s="59">
        <v>5000</v>
      </c>
      <c r="E109" s="59">
        <v>0</v>
      </c>
      <c r="F109" s="60"/>
      <c r="G109" s="61"/>
      <c r="H109" s="61"/>
      <c r="I109" s="61"/>
      <c r="J109" s="62">
        <v>0</v>
      </c>
      <c r="K109" s="62">
        <v>0</v>
      </c>
      <c r="L109" s="123"/>
      <c r="M109" s="124"/>
      <c r="N109" s="81"/>
      <c r="O109" s="57"/>
      <c r="Q109" s="100"/>
    </row>
    <row r="110" spans="1:17" x14ac:dyDescent="0.2">
      <c r="A110" s="17">
        <v>100</v>
      </c>
      <c r="B110" s="50" t="s">
        <v>163</v>
      </c>
      <c r="C110" s="134" t="s">
        <v>164</v>
      </c>
      <c r="D110" s="59">
        <v>5000</v>
      </c>
      <c r="E110" s="59">
        <v>1276.3399999999999</v>
      </c>
      <c r="F110" s="60"/>
      <c r="G110" s="61"/>
      <c r="H110" s="61"/>
      <c r="I110" s="61"/>
      <c r="L110" s="123"/>
      <c r="M110" s="124"/>
      <c r="N110" s="81"/>
      <c r="O110" s="57"/>
      <c r="Q110" s="100"/>
    </row>
    <row r="111" spans="1:17" x14ac:dyDescent="0.2">
      <c r="A111" s="17">
        <v>101</v>
      </c>
      <c r="B111" s="50" t="s">
        <v>165</v>
      </c>
      <c r="C111" s="50" t="s">
        <v>166</v>
      </c>
      <c r="D111" s="59">
        <v>20000</v>
      </c>
      <c r="E111" s="59">
        <v>6949.04</v>
      </c>
      <c r="F111" s="60"/>
      <c r="G111" s="61"/>
      <c r="H111" s="61"/>
      <c r="I111" s="61"/>
      <c r="J111" s="62">
        <f>+'[1]PP revenue fy17'!G33</f>
        <v>27483.215</v>
      </c>
      <c r="K111" s="62">
        <f>+'[1]PP revenue fy17'!G33</f>
        <v>27483.215</v>
      </c>
      <c r="L111" s="123"/>
      <c r="M111" s="124"/>
      <c r="N111" s="81"/>
      <c r="O111" s="57"/>
      <c r="Q111" s="100"/>
    </row>
    <row r="112" spans="1:17" x14ac:dyDescent="0.2">
      <c r="A112" s="17">
        <v>102</v>
      </c>
      <c r="B112" s="50" t="s">
        <v>167</v>
      </c>
      <c r="C112" s="50" t="s">
        <v>168</v>
      </c>
      <c r="D112" s="59"/>
      <c r="E112" s="59"/>
      <c r="F112" s="60"/>
      <c r="G112" s="61"/>
      <c r="H112" s="61"/>
      <c r="I112" s="61"/>
      <c r="J112" s="62"/>
      <c r="K112" s="62"/>
      <c r="L112" s="123"/>
      <c r="M112" s="124"/>
      <c r="N112" s="81"/>
      <c r="O112" s="57"/>
      <c r="Q112" s="100"/>
    </row>
    <row r="113" spans="1:17" x14ac:dyDescent="0.2">
      <c r="A113" s="17">
        <v>103</v>
      </c>
      <c r="B113" s="50" t="s">
        <v>169</v>
      </c>
      <c r="C113" s="50" t="s">
        <v>170</v>
      </c>
      <c r="D113" s="59"/>
      <c r="E113" s="59"/>
      <c r="F113" s="60"/>
      <c r="G113" s="61"/>
      <c r="H113" s="61"/>
      <c r="I113" s="61"/>
      <c r="J113" s="62">
        <v>0</v>
      </c>
      <c r="K113" s="62">
        <v>0</v>
      </c>
      <c r="L113" s="123"/>
      <c r="M113" s="124"/>
      <c r="N113" s="81"/>
      <c r="O113" s="57"/>
      <c r="Q113" s="100"/>
    </row>
    <row r="114" spans="1:17" x14ac:dyDescent="0.2">
      <c r="A114" s="17">
        <v>104</v>
      </c>
      <c r="B114" s="50" t="s">
        <v>171</v>
      </c>
      <c r="C114" s="50" t="s">
        <v>172</v>
      </c>
      <c r="D114" s="59"/>
      <c r="E114" s="59"/>
      <c r="F114" s="65"/>
      <c r="G114" s="66"/>
      <c r="H114" s="66"/>
      <c r="I114" s="66"/>
      <c r="J114" s="67">
        <f>+[1]Outreach!G9</f>
        <v>35000</v>
      </c>
      <c r="K114" s="67">
        <f>+[1]Outreach!G9</f>
        <v>35000</v>
      </c>
      <c r="L114" s="123"/>
      <c r="M114" s="124"/>
      <c r="N114" s="81"/>
      <c r="O114" s="57"/>
      <c r="Q114" s="100"/>
    </row>
    <row r="115" spans="1:17" x14ac:dyDescent="0.2">
      <c r="A115" s="17">
        <v>105</v>
      </c>
      <c r="B115" s="49" t="s">
        <v>173</v>
      </c>
      <c r="C115" s="50" t="s">
        <v>174</v>
      </c>
      <c r="D115" s="58">
        <v>35000</v>
      </c>
      <c r="E115" s="59">
        <v>0</v>
      </c>
      <c r="F115" s="65"/>
      <c r="G115" s="66"/>
      <c r="H115" s="66"/>
      <c r="I115" s="66"/>
      <c r="J115" s="67"/>
      <c r="K115" s="67"/>
      <c r="L115" s="68"/>
      <c r="M115" s="69"/>
      <c r="O115" s="57"/>
      <c r="Q115" s="100"/>
    </row>
    <row r="116" spans="1:17" x14ac:dyDescent="0.2">
      <c r="A116" s="17">
        <v>106</v>
      </c>
      <c r="B116" s="49" t="s">
        <v>175</v>
      </c>
      <c r="C116" s="50" t="s">
        <v>176</v>
      </c>
      <c r="D116" s="58"/>
      <c r="E116" s="59"/>
      <c r="F116" s="70"/>
      <c r="G116" s="71"/>
      <c r="H116" s="71"/>
      <c r="I116" s="71"/>
      <c r="J116" s="72">
        <v>0</v>
      </c>
      <c r="K116" s="72">
        <v>0</v>
      </c>
      <c r="L116" s="68"/>
      <c r="M116" s="69"/>
      <c r="O116" s="57"/>
      <c r="Q116" s="100"/>
    </row>
    <row r="117" spans="1:17" s="105" customFormat="1" x14ac:dyDescent="0.2">
      <c r="A117" s="17">
        <v>107</v>
      </c>
      <c r="B117" s="73" t="s">
        <v>177</v>
      </c>
      <c r="C117" s="135"/>
      <c r="D117" s="136"/>
      <c r="E117" s="137"/>
      <c r="F117" s="130"/>
      <c r="G117" s="113"/>
      <c r="H117" s="113"/>
      <c r="I117" s="113"/>
      <c r="J117" s="121">
        <f>SUM(J107:J116)</f>
        <v>72544.334999999992</v>
      </c>
      <c r="K117" s="121">
        <f>SUM(K107:K116)</f>
        <v>72544.334999999992</v>
      </c>
      <c r="L117" s="46"/>
      <c r="M117" s="46"/>
      <c r="N117" s="17"/>
      <c r="Q117" s="100"/>
    </row>
    <row r="118" spans="1:17" x14ac:dyDescent="0.2">
      <c r="A118" s="17">
        <v>108</v>
      </c>
      <c r="B118" s="73" t="s">
        <v>178</v>
      </c>
      <c r="L118" s="46" t="s">
        <v>45</v>
      </c>
      <c r="M118" s="89"/>
      <c r="N118" s="40"/>
      <c r="O118" s="41"/>
      <c r="Q118" s="100"/>
    </row>
    <row r="119" spans="1:17" x14ac:dyDescent="0.2">
      <c r="A119" s="17">
        <v>109</v>
      </c>
      <c r="B119" s="42" t="s">
        <v>25</v>
      </c>
      <c r="C119" s="73" t="s">
        <v>179</v>
      </c>
      <c r="D119" s="74" t="e">
        <f>ROUND(D93+#REF!+#REF!+#REF!+#REF!+#REF!+ SUBTOTAL(9,#REF!), 5)</f>
        <v>#REF!</v>
      </c>
      <c r="E119" s="75" t="e">
        <f>ROUND(E93+#REF!+#REF!+#REF!+#REF!+#REF!+ SUBTOTAL(9,#REF!), 5)</f>
        <v>#REF!</v>
      </c>
      <c r="F119" s="139"/>
      <c r="G119" s="76"/>
      <c r="H119" s="76"/>
      <c r="I119" s="76"/>
      <c r="J119" s="76">
        <f>J26+J41+J43+J45+J48+J54+J56+J68+J75+J77+J78+J94+J104+J117</f>
        <v>5389812.1183333332</v>
      </c>
      <c r="K119" s="76">
        <f>K26+K41+K43+K45+K48+K54+K56+K68+K75+K77+K78+K94+K104+K117</f>
        <v>5389812.1183333332</v>
      </c>
      <c r="L119" s="46" t="e">
        <f>(#REF!-#REF!)/#REF!</f>
        <v>#REF!</v>
      </c>
      <c r="M119" s="47"/>
      <c r="N119" s="40"/>
      <c r="O119" s="41"/>
      <c r="Q119" s="100"/>
    </row>
    <row r="120" spans="1:17" x14ac:dyDescent="0.2">
      <c r="A120" s="17">
        <v>110</v>
      </c>
      <c r="B120" s="80" t="s">
        <v>25</v>
      </c>
      <c r="C120" s="81"/>
      <c r="D120" s="40"/>
      <c r="E120" s="81"/>
      <c r="F120" s="65"/>
      <c r="G120" s="66"/>
      <c r="H120" s="66"/>
      <c r="I120" s="66"/>
      <c r="J120" s="67"/>
      <c r="K120" s="67"/>
      <c r="L120" s="123"/>
      <c r="M120" s="124"/>
      <c r="N120" s="40"/>
      <c r="O120" s="57"/>
      <c r="Q120" s="100"/>
    </row>
    <row r="121" spans="1:17" s="105" customFormat="1" x14ac:dyDescent="0.2">
      <c r="A121" s="17">
        <v>111</v>
      </c>
      <c r="B121" s="140"/>
      <c r="C121" s="73" t="s">
        <v>37</v>
      </c>
      <c r="D121" s="141"/>
      <c r="E121" s="142"/>
      <c r="F121" s="143"/>
      <c r="G121" s="144"/>
      <c r="H121" s="144"/>
      <c r="I121" s="144"/>
      <c r="J121" s="145">
        <f>+J21</f>
        <v>5384691.3200000003</v>
      </c>
      <c r="K121" s="145">
        <f>+K21</f>
        <v>5558269.5199999996</v>
      </c>
      <c r="L121" s="132"/>
      <c r="M121" s="132"/>
      <c r="N121" s="17"/>
      <c r="Q121" s="100"/>
    </row>
    <row r="122" spans="1:17" s="105" customFormat="1" x14ac:dyDescent="0.2">
      <c r="A122" s="17">
        <v>112</v>
      </c>
      <c r="B122" s="140"/>
      <c r="C122" s="73"/>
      <c r="D122" s="141"/>
      <c r="E122" s="142"/>
      <c r="F122" s="143"/>
      <c r="G122" s="144"/>
      <c r="H122" s="144"/>
      <c r="I122" s="144"/>
      <c r="J122" s="145"/>
      <c r="K122" s="145"/>
      <c r="L122" s="132"/>
      <c r="M122" s="132"/>
      <c r="N122" s="17"/>
      <c r="Q122" s="100"/>
    </row>
    <row r="123" spans="1:17" x14ac:dyDescent="0.2">
      <c r="A123" s="17">
        <v>113</v>
      </c>
      <c r="B123" s="42" t="s">
        <v>25</v>
      </c>
      <c r="C123" s="73" t="s">
        <v>180</v>
      </c>
      <c r="D123" s="146" t="e">
        <f>-(ROUND(-D21+D119-SUBTOTAL(9, D120:D120), 5))</f>
        <v>#REF!</v>
      </c>
      <c r="E123" s="147" t="e">
        <f>-(ROUND(-E21+E119-SUBTOTAL(9, E120:E120), 5))</f>
        <v>#REF!</v>
      </c>
      <c r="F123" s="148"/>
      <c r="G123" s="149"/>
      <c r="H123" s="149"/>
      <c r="I123" s="149"/>
      <c r="J123" s="149">
        <f>-(ROUND(-J21+J119-SUBTOTAL(9, J120:J120), 5))</f>
        <v>-5120.7983299999996</v>
      </c>
      <c r="K123" s="149">
        <f>-(ROUND(-K21+K119-SUBTOTAL(9, K120:K120), 5))</f>
        <v>168457.40166999999</v>
      </c>
      <c r="L123" s="46"/>
      <c r="M123" s="89"/>
      <c r="N123" s="40"/>
      <c r="O123" s="41"/>
      <c r="Q123" s="100"/>
    </row>
    <row r="124" spans="1:17" x14ac:dyDescent="0.2">
      <c r="A124" s="17">
        <v>114</v>
      </c>
      <c r="B124" s="42"/>
      <c r="D124" s="150"/>
      <c r="E124" s="151"/>
      <c r="F124" s="152"/>
      <c r="G124" s="35"/>
      <c r="H124" s="35"/>
      <c r="I124" s="35"/>
      <c r="J124" s="35"/>
      <c r="K124" s="35"/>
      <c r="L124" s="46"/>
      <c r="M124" s="89"/>
      <c r="N124" s="40"/>
      <c r="O124" s="41"/>
      <c r="Q124" s="100"/>
    </row>
    <row r="125" spans="1:17" x14ac:dyDescent="0.2">
      <c r="B125" s="153"/>
      <c r="C125" s="154"/>
      <c r="D125" s="31"/>
      <c r="E125" s="30"/>
      <c r="F125" s="155"/>
      <c r="G125" s="76"/>
      <c r="H125" s="76"/>
      <c r="I125" s="76"/>
      <c r="J125" s="77"/>
      <c r="K125" s="77"/>
      <c r="L125" s="156"/>
      <c r="M125" s="39"/>
      <c r="N125" s="40"/>
      <c r="O125" s="41"/>
      <c r="Q125" s="100"/>
    </row>
    <row r="126" spans="1:17" x14ac:dyDescent="0.2">
      <c r="B126" s="81"/>
      <c r="C126" s="81"/>
      <c r="D126" s="40"/>
      <c r="E126" s="30"/>
      <c r="F126" s="155"/>
      <c r="G126" s="76"/>
      <c r="H126" s="76"/>
      <c r="I126" s="76"/>
      <c r="J126" s="77"/>
      <c r="K126" s="77"/>
      <c r="L126" s="156"/>
      <c r="M126" s="39"/>
      <c r="N126" s="40"/>
      <c r="O126" s="41"/>
      <c r="Q126" s="100"/>
    </row>
    <row r="127" spans="1:17" x14ac:dyDescent="0.2">
      <c r="B127" s="31"/>
      <c r="C127" s="30"/>
      <c r="D127" s="31"/>
      <c r="E127" s="30"/>
      <c r="F127" s="155"/>
      <c r="G127" s="76"/>
      <c r="H127" s="76"/>
      <c r="I127" s="76"/>
      <c r="J127" s="77"/>
      <c r="K127" s="77"/>
      <c r="L127" s="156"/>
      <c r="M127" s="39"/>
      <c r="N127" s="40"/>
      <c r="O127" s="41"/>
    </row>
    <row r="128" spans="1:17" x14ac:dyDescent="0.2">
      <c r="B128" s="4" t="s">
        <v>45</v>
      </c>
    </row>
  </sheetData>
  <mergeCells count="3">
    <mergeCell ref="A1:L1"/>
    <mergeCell ref="A2:L2"/>
    <mergeCell ref="G6:K6"/>
  </mergeCells>
  <printOptions horizontalCentered="1" gridLines="1"/>
  <pageMargins left="0.5" right="0.5" top="0.25" bottom="0.25" header="0.5" footer="0.5"/>
  <pageSetup paperSize="5" scale="89" fitToHeight="20" orientation="landscape" r:id="rId1"/>
  <headerFooter alignWithMargins="0"/>
  <rowBreaks count="1" manualBreakCount="1">
    <brk id="5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Yr Bug &amp; Act. (Grouped)</vt:lpstr>
      <vt:lpstr>'Total Yr Bug &amp; Act. (Grouped)'!Print_Area</vt:lpstr>
      <vt:lpstr>'Total Yr Bug &amp; Act. (Grouped)'!Print_Titles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Jones</dc:creator>
  <cp:lastModifiedBy>Monica Jones</cp:lastModifiedBy>
  <dcterms:created xsi:type="dcterms:W3CDTF">2016-05-27T18:09:56Z</dcterms:created>
  <dcterms:modified xsi:type="dcterms:W3CDTF">2016-05-27T18:13:20Z</dcterms:modified>
</cp:coreProperties>
</file>