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SA Consulting\Documents\CSA Consulting 2\Crystal Star Associates LLC\Eagle Academy PCS\2016-2017\Budget\"/>
    </mc:Choice>
  </mc:AlternateContent>
  <bookViews>
    <workbookView xWindow="0" yWindow="0" windowWidth="23040" windowHeight="9096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Budget'!$A$1:$Z$81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52511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9" i="5" l="1"/>
  <c r="I69" i="5"/>
  <c r="H7" i="5"/>
  <c r="U12" i="5"/>
  <c r="W12" i="5"/>
  <c r="V12" i="5"/>
  <c r="S12" i="5"/>
  <c r="R12" i="5"/>
  <c r="Q12" i="5"/>
  <c r="O12" i="5"/>
  <c r="N12" i="5"/>
  <c r="M12" i="5"/>
  <c r="J12" i="5"/>
  <c r="K12" i="5"/>
  <c r="I12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Z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Z8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Z9" i="5"/>
  <c r="L10" i="5"/>
  <c r="P10" i="5"/>
  <c r="T10" i="5"/>
  <c r="W10" i="5"/>
  <c r="X10" i="5"/>
  <c r="Z10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Z11" i="5"/>
  <c r="H12" i="5"/>
  <c r="L12" i="5"/>
  <c r="P12" i="5"/>
  <c r="T12" i="5"/>
  <c r="X12" i="5"/>
  <c r="Z12" i="5"/>
  <c r="L13" i="5"/>
  <c r="P13" i="5"/>
  <c r="T13" i="5"/>
  <c r="X13" i="5"/>
  <c r="Z13" i="5"/>
  <c r="Z14" i="5"/>
  <c r="D75" i="5"/>
  <c r="D65" i="5"/>
  <c r="D49" i="5"/>
  <c r="D44" i="5"/>
  <c r="D43" i="5"/>
  <c r="D27" i="5"/>
  <c r="D29" i="5"/>
  <c r="D30" i="5"/>
  <c r="D25" i="5"/>
  <c r="D23" i="5"/>
  <c r="D22" i="5"/>
  <c r="D21" i="5"/>
  <c r="D20" i="5"/>
  <c r="D19" i="5"/>
  <c r="D18" i="5"/>
  <c r="D9" i="5"/>
  <c r="D7" i="5"/>
  <c r="H71" i="5"/>
  <c r="I14" i="5"/>
  <c r="J14" i="5"/>
  <c r="K14" i="5"/>
  <c r="L14" i="5"/>
  <c r="M14" i="5"/>
  <c r="N14" i="5"/>
  <c r="O14" i="5"/>
  <c r="P14" i="5"/>
  <c r="H48" i="5"/>
  <c r="U80" i="5"/>
  <c r="V80" i="5"/>
  <c r="W80" i="5"/>
  <c r="X80" i="5"/>
  <c r="Q80" i="5"/>
  <c r="R80" i="5"/>
  <c r="S80" i="5"/>
  <c r="T80" i="5"/>
  <c r="M80" i="5"/>
  <c r="N80" i="5"/>
  <c r="O80" i="5"/>
  <c r="P80" i="5"/>
  <c r="I80" i="5"/>
  <c r="J80" i="5"/>
  <c r="K80" i="5"/>
  <c r="L80" i="5"/>
  <c r="X75" i="5"/>
  <c r="T75" i="5"/>
  <c r="P75" i="5"/>
  <c r="L75" i="5"/>
  <c r="I74" i="5"/>
  <c r="J74" i="5"/>
  <c r="K74" i="5"/>
  <c r="M74" i="5"/>
  <c r="Q74" i="5"/>
  <c r="V74" i="5"/>
  <c r="U74" i="5"/>
  <c r="N74" i="5"/>
  <c r="O74" i="5"/>
  <c r="R74" i="5"/>
  <c r="S74" i="5"/>
  <c r="W74" i="5"/>
  <c r="X74" i="5"/>
  <c r="T74" i="5"/>
  <c r="P74" i="5"/>
  <c r="L74" i="5"/>
  <c r="W54" i="5"/>
  <c r="W48" i="5"/>
  <c r="V48" i="5"/>
  <c r="U48" i="5"/>
  <c r="S48" i="5"/>
  <c r="R48" i="5"/>
  <c r="Q48" i="5"/>
  <c r="O48" i="5"/>
  <c r="N48" i="5"/>
  <c r="M48" i="5"/>
  <c r="K48" i="5"/>
  <c r="J48" i="5"/>
  <c r="I48" i="5"/>
  <c r="H18" i="5"/>
  <c r="I18" i="5" s="1"/>
  <c r="H19" i="5"/>
  <c r="I19" i="5" s="1"/>
  <c r="I20" i="5"/>
  <c r="J19" i="5"/>
  <c r="J20" i="5"/>
  <c r="J33" i="5"/>
  <c r="K33" i="5"/>
  <c r="T28" i="5"/>
  <c r="P28" i="5"/>
  <c r="R19" i="5"/>
  <c r="S19" i="5"/>
  <c r="U19" i="5"/>
  <c r="V19" i="5"/>
  <c r="I45" i="5"/>
  <c r="I55" i="5"/>
  <c r="I76" i="5"/>
  <c r="I66" i="5"/>
  <c r="J45" i="5"/>
  <c r="J55" i="5"/>
  <c r="J76" i="5"/>
  <c r="J66" i="5"/>
  <c r="J77" i="5"/>
  <c r="J78" i="5"/>
  <c r="J81" i="5"/>
  <c r="K55" i="5"/>
  <c r="H72" i="5"/>
  <c r="K72" i="5" s="1"/>
  <c r="K71" i="5"/>
  <c r="K66" i="5"/>
  <c r="K45" i="5"/>
  <c r="O33" i="5"/>
  <c r="M33" i="5"/>
  <c r="N33" i="5"/>
  <c r="P33" i="5"/>
  <c r="M55" i="5"/>
  <c r="N55" i="5"/>
  <c r="O55" i="5"/>
  <c r="P55" i="5"/>
  <c r="M76" i="5"/>
  <c r="N76" i="5"/>
  <c r="O76" i="5"/>
  <c r="P76" i="5"/>
  <c r="M66" i="5"/>
  <c r="N66" i="5"/>
  <c r="O66" i="5"/>
  <c r="P66" i="5"/>
  <c r="M45" i="5"/>
  <c r="N45" i="5"/>
  <c r="O45" i="5"/>
  <c r="P45" i="5"/>
  <c r="P77" i="5"/>
  <c r="P78" i="5"/>
  <c r="P81" i="5"/>
  <c r="Q14" i="5"/>
  <c r="R14" i="5"/>
  <c r="S14" i="5"/>
  <c r="T14" i="5"/>
  <c r="S33" i="5"/>
  <c r="R33" i="5"/>
  <c r="Q33" i="5"/>
  <c r="T33" i="5"/>
  <c r="Q55" i="5"/>
  <c r="R55" i="5"/>
  <c r="S55" i="5"/>
  <c r="T55" i="5"/>
  <c r="Q76" i="5"/>
  <c r="R76" i="5"/>
  <c r="S76" i="5"/>
  <c r="T76" i="5"/>
  <c r="Q66" i="5"/>
  <c r="R66" i="5"/>
  <c r="S66" i="5"/>
  <c r="T66" i="5"/>
  <c r="Q45" i="5"/>
  <c r="R45" i="5"/>
  <c r="S45" i="5"/>
  <c r="T45" i="5"/>
  <c r="T77" i="5"/>
  <c r="T78" i="5"/>
  <c r="T81" i="5"/>
  <c r="U14" i="5"/>
  <c r="V14" i="5"/>
  <c r="W14" i="5"/>
  <c r="X14" i="5"/>
  <c r="W33" i="5"/>
  <c r="V33" i="5"/>
  <c r="U33" i="5"/>
  <c r="X33" i="5"/>
  <c r="W45" i="5"/>
  <c r="U45" i="5"/>
  <c r="V45" i="5"/>
  <c r="X45" i="5"/>
  <c r="U55" i="5"/>
  <c r="V55" i="5"/>
  <c r="W55" i="5"/>
  <c r="X55" i="5"/>
  <c r="W66" i="5"/>
  <c r="U66" i="5"/>
  <c r="V66" i="5"/>
  <c r="X66" i="5"/>
  <c r="W76" i="5"/>
  <c r="U76" i="5"/>
  <c r="V76" i="5"/>
  <c r="X76" i="5"/>
  <c r="X77" i="5"/>
  <c r="X78" i="5"/>
  <c r="X81" i="5"/>
  <c r="H49" i="5"/>
  <c r="H55" i="5" s="1"/>
  <c r="H50" i="5"/>
  <c r="H51" i="5"/>
  <c r="H52" i="5"/>
  <c r="H53" i="5"/>
  <c r="H54" i="5"/>
  <c r="H58" i="5"/>
  <c r="H66" i="5" s="1"/>
  <c r="H59" i="5"/>
  <c r="H60" i="5"/>
  <c r="H62" i="5"/>
  <c r="H63" i="5"/>
  <c r="H64" i="5"/>
  <c r="H36" i="5"/>
  <c r="H37" i="5"/>
  <c r="H45" i="5" s="1"/>
  <c r="H38" i="5"/>
  <c r="H39" i="5"/>
  <c r="H40" i="5"/>
  <c r="H41" i="5"/>
  <c r="H44" i="5"/>
  <c r="H20" i="5"/>
  <c r="H21" i="5"/>
  <c r="H22" i="5"/>
  <c r="H23" i="5"/>
  <c r="H24" i="5"/>
  <c r="H25" i="5"/>
  <c r="H26" i="5"/>
  <c r="H29" i="5"/>
  <c r="H14" i="5"/>
  <c r="X72" i="5"/>
  <c r="T72" i="5"/>
  <c r="P72" i="5"/>
  <c r="X70" i="5"/>
  <c r="T70" i="5"/>
  <c r="P70" i="5"/>
  <c r="L70" i="5"/>
  <c r="X69" i="5"/>
  <c r="T69" i="5"/>
  <c r="P69" i="5"/>
  <c r="L69" i="5"/>
  <c r="L66" i="5"/>
  <c r="X65" i="5"/>
  <c r="T65" i="5"/>
  <c r="P65" i="5"/>
  <c r="L65" i="5"/>
  <c r="X64" i="5"/>
  <c r="T64" i="5"/>
  <c r="P64" i="5"/>
  <c r="L64" i="5"/>
  <c r="X63" i="5"/>
  <c r="T63" i="5"/>
  <c r="P63" i="5"/>
  <c r="L63" i="5"/>
  <c r="X62" i="5"/>
  <c r="T62" i="5"/>
  <c r="P62" i="5"/>
  <c r="L62" i="5"/>
  <c r="X61" i="5"/>
  <c r="T61" i="5"/>
  <c r="P61" i="5"/>
  <c r="L61" i="5"/>
  <c r="X60" i="5"/>
  <c r="T60" i="5"/>
  <c r="P60" i="5"/>
  <c r="L60" i="5"/>
  <c r="X59" i="5"/>
  <c r="T59" i="5"/>
  <c r="P59" i="5"/>
  <c r="L59" i="5"/>
  <c r="X58" i="5"/>
  <c r="T58" i="5"/>
  <c r="P58" i="5"/>
  <c r="L58" i="5"/>
  <c r="L55" i="5"/>
  <c r="X54" i="5"/>
  <c r="T54" i="5"/>
  <c r="P54" i="5"/>
  <c r="L54" i="5"/>
  <c r="X53" i="5"/>
  <c r="T53" i="5"/>
  <c r="P53" i="5"/>
  <c r="L53" i="5"/>
  <c r="T52" i="5"/>
  <c r="X52" i="5"/>
  <c r="P52" i="5"/>
  <c r="L52" i="5"/>
  <c r="X51" i="5"/>
  <c r="T51" i="5"/>
  <c r="P51" i="5"/>
  <c r="L51" i="5"/>
  <c r="X50" i="5"/>
  <c r="T50" i="5"/>
  <c r="P50" i="5"/>
  <c r="L50" i="5"/>
  <c r="X49" i="5"/>
  <c r="T49" i="5"/>
  <c r="P49" i="5"/>
  <c r="L49" i="5"/>
  <c r="L48" i="5"/>
  <c r="P48" i="5"/>
  <c r="T48" i="5"/>
  <c r="X48" i="5"/>
  <c r="L45" i="5"/>
  <c r="X44" i="5"/>
  <c r="T44" i="5"/>
  <c r="P44" i="5"/>
  <c r="L44" i="5"/>
  <c r="X71" i="5"/>
  <c r="T71" i="5"/>
  <c r="P71" i="5"/>
  <c r="L71" i="5"/>
  <c r="X43" i="5"/>
  <c r="T43" i="5"/>
  <c r="P43" i="5"/>
  <c r="L43" i="5"/>
  <c r="L42" i="5"/>
  <c r="X42" i="5"/>
  <c r="X41" i="5"/>
  <c r="T41" i="5"/>
  <c r="P41" i="5"/>
  <c r="L41" i="5"/>
  <c r="X40" i="5"/>
  <c r="L40" i="5"/>
  <c r="X39" i="5"/>
  <c r="T39" i="5"/>
  <c r="P39" i="5"/>
  <c r="L39" i="5"/>
  <c r="X38" i="5"/>
  <c r="T38" i="5"/>
  <c r="P38" i="5"/>
  <c r="L38" i="5"/>
  <c r="X37" i="5"/>
  <c r="T37" i="5"/>
  <c r="P37" i="5"/>
  <c r="L37" i="5"/>
  <c r="X36" i="5"/>
  <c r="T36" i="5"/>
  <c r="P36" i="5"/>
  <c r="L36" i="5"/>
  <c r="P32" i="5"/>
  <c r="T32" i="5"/>
  <c r="X32" i="5"/>
  <c r="L32" i="5"/>
  <c r="X31" i="5"/>
  <c r="T31" i="5"/>
  <c r="P31" i="5"/>
  <c r="L31" i="5"/>
  <c r="X30" i="5"/>
  <c r="T30" i="5"/>
  <c r="P30" i="5"/>
  <c r="L30" i="5"/>
  <c r="X29" i="5"/>
  <c r="T29" i="5"/>
  <c r="P29" i="5"/>
  <c r="L29" i="5"/>
  <c r="X28" i="5"/>
  <c r="L28" i="5"/>
  <c r="X27" i="5"/>
  <c r="T27" i="5"/>
  <c r="P27" i="5"/>
  <c r="L27" i="5"/>
  <c r="X26" i="5"/>
  <c r="T26" i="5"/>
  <c r="P26" i="5"/>
  <c r="L26" i="5"/>
  <c r="X25" i="5"/>
  <c r="T25" i="5"/>
  <c r="P25" i="5"/>
  <c r="L25" i="5"/>
  <c r="X24" i="5"/>
  <c r="T24" i="5"/>
  <c r="P24" i="5"/>
  <c r="L24" i="5"/>
  <c r="X23" i="5"/>
  <c r="T23" i="5"/>
  <c r="P23" i="5"/>
  <c r="L23" i="5"/>
  <c r="X22" i="5"/>
  <c r="T22" i="5"/>
  <c r="P22" i="5"/>
  <c r="L22" i="5"/>
  <c r="X21" i="5"/>
  <c r="T21" i="5"/>
  <c r="P21" i="5"/>
  <c r="L21" i="5"/>
  <c r="P20" i="5"/>
  <c r="T20" i="5"/>
  <c r="X20" i="5"/>
  <c r="L20" i="5"/>
  <c r="X19" i="5"/>
  <c r="T19" i="5"/>
  <c r="P19" i="5"/>
  <c r="X18" i="5"/>
  <c r="T18" i="5"/>
  <c r="P18" i="5"/>
  <c r="M77" i="5"/>
  <c r="M78" i="5"/>
  <c r="M81" i="5"/>
  <c r="N77" i="5"/>
  <c r="N78" i="5"/>
  <c r="N81" i="5"/>
  <c r="O77" i="5"/>
  <c r="O78" i="5"/>
  <c r="O81" i="5"/>
  <c r="Q77" i="5"/>
  <c r="Q78" i="5"/>
  <c r="Q81" i="5"/>
  <c r="R77" i="5"/>
  <c r="R78" i="5"/>
  <c r="R81" i="5"/>
  <c r="S77" i="5"/>
  <c r="S78" i="5"/>
  <c r="S81" i="5"/>
  <c r="U77" i="5"/>
  <c r="U78" i="5"/>
  <c r="U81" i="5"/>
  <c r="V77" i="5"/>
  <c r="V78" i="5"/>
  <c r="V81" i="5"/>
  <c r="W77" i="5"/>
  <c r="W78" i="5"/>
  <c r="W81" i="5"/>
  <c r="Z64" i="5"/>
  <c r="Z51" i="5"/>
  <c r="Z52" i="5"/>
  <c r="Z71" i="5"/>
  <c r="Z40" i="5"/>
  <c r="Z41" i="5"/>
  <c r="Z42" i="5"/>
  <c r="Z43" i="5"/>
  <c r="Z44" i="5"/>
  <c r="Z39" i="5"/>
  <c r="L46" i="5"/>
  <c r="L47" i="5"/>
  <c r="L56" i="5"/>
  <c r="L57" i="5"/>
  <c r="L73" i="5"/>
  <c r="L79" i="5"/>
  <c r="Z28" i="5"/>
  <c r="F23" i="5"/>
  <c r="F24" i="5"/>
  <c r="F26" i="5"/>
  <c r="F22" i="5"/>
  <c r="F19" i="5"/>
  <c r="C58" i="4"/>
  <c r="I74" i="1"/>
  <c r="M74" i="1"/>
  <c r="Q74" i="1"/>
  <c r="U74" i="1"/>
  <c r="X74" i="1"/>
  <c r="X73" i="1"/>
  <c r="U73" i="1"/>
  <c r="Q73" i="1"/>
  <c r="M73" i="1"/>
  <c r="I73" i="1"/>
  <c r="W74" i="1"/>
  <c r="Y74" i="1"/>
  <c r="W73" i="1"/>
  <c r="Y73" i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D66" i="5"/>
  <c r="D55" i="5"/>
  <c r="D45" i="5"/>
  <c r="D33" i="5"/>
  <c r="D14" i="5"/>
  <c r="A2" i="5"/>
  <c r="A2" i="4"/>
  <c r="J34" i="2"/>
  <c r="I34" i="2"/>
  <c r="H34" i="2"/>
  <c r="G34" i="2"/>
  <c r="E34" i="2"/>
  <c r="J29" i="2"/>
  <c r="I29" i="2"/>
  <c r="H29" i="2"/>
  <c r="G29" i="2"/>
  <c r="E29" i="2"/>
  <c r="A1" i="4"/>
  <c r="A1" i="5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Z74" i="5"/>
  <c r="H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F33" i="5"/>
  <c r="D76" i="5"/>
  <c r="D77" i="5"/>
  <c r="D78" i="5"/>
  <c r="D81" i="5"/>
  <c r="X73" i="5"/>
  <c r="T73" i="5"/>
  <c r="P73" i="5"/>
  <c r="Z80" i="5"/>
  <c r="Z29" i="5"/>
  <c r="X8" i="1"/>
  <c r="X10" i="1"/>
  <c r="X13" i="1"/>
  <c r="X24" i="1"/>
  <c r="X28" i="1"/>
  <c r="Z30" i="5"/>
  <c r="X29" i="1"/>
  <c r="Z32" i="5"/>
  <c r="X31" i="1"/>
  <c r="X38" i="1"/>
  <c r="X39" i="1"/>
  <c r="X45" i="1"/>
  <c r="Z49" i="5"/>
  <c r="X46" i="1"/>
  <c r="Z50" i="5"/>
  <c r="X47" i="1"/>
  <c r="Z53" i="5"/>
  <c r="X48" i="1"/>
  <c r="Z58" i="5"/>
  <c r="X53" i="1"/>
  <c r="Z59" i="5"/>
  <c r="X54" i="1"/>
  <c r="X59" i="1"/>
  <c r="Z69" i="5"/>
  <c r="X63" i="1"/>
  <c r="Z70" i="5"/>
  <c r="X64" i="1"/>
  <c r="Z73" i="5"/>
  <c r="X66" i="1"/>
  <c r="Z24" i="5"/>
  <c r="Z48" i="5"/>
  <c r="Z54" i="5"/>
  <c r="Z60" i="5"/>
  <c r="Z65" i="5"/>
  <c r="Z75" i="5"/>
  <c r="X9" i="1"/>
  <c r="X11" i="1"/>
  <c r="X12" i="1"/>
  <c r="Z21" i="5"/>
  <c r="X21" i="1"/>
  <c r="Z22" i="5"/>
  <c r="X22" i="1"/>
  <c r="Z23" i="5"/>
  <c r="X23" i="1"/>
  <c r="Z25" i="5"/>
  <c r="X25" i="1"/>
  <c r="Z26" i="5"/>
  <c r="X26" i="1"/>
  <c r="Z27" i="5"/>
  <c r="X27" i="1"/>
  <c r="Z31" i="5"/>
  <c r="X30" i="1"/>
  <c r="Z36" i="5"/>
  <c r="X35" i="1"/>
  <c r="Z37" i="5"/>
  <c r="X36" i="1"/>
  <c r="Z38" i="5"/>
  <c r="X37" i="1"/>
  <c r="X41" i="1"/>
  <c r="X49" i="1"/>
  <c r="X55" i="1"/>
  <c r="Z61" i="5"/>
  <c r="X56" i="1"/>
  <c r="Z62" i="5"/>
  <c r="X57" i="1"/>
  <c r="Z63" i="5"/>
  <c r="X58" i="1"/>
  <c r="X40" i="1"/>
  <c r="X68" i="1"/>
  <c r="D47" i="4"/>
  <c r="D50" i="4"/>
  <c r="D53" i="4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42" i="4"/>
  <c r="J44" i="2"/>
  <c r="E44" i="2"/>
  <c r="Z45" i="5"/>
  <c r="Z66" i="5"/>
  <c r="Z55" i="5"/>
  <c r="C44" i="4"/>
  <c r="C37" i="4"/>
  <c r="B37" i="4"/>
  <c r="B44" i="4"/>
  <c r="G44" i="2"/>
  <c r="H44" i="2"/>
  <c r="I44" i="2"/>
  <c r="C24" i="4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U42" i="1"/>
  <c r="W19" i="1"/>
  <c r="U32" i="1"/>
  <c r="M69" i="1"/>
  <c r="U14" i="1"/>
  <c r="Q60" i="1"/>
  <c r="M42" i="1"/>
  <c r="M14" i="1"/>
  <c r="I60" i="1"/>
  <c r="Q32" i="1"/>
  <c r="U60" i="1"/>
  <c r="Q14" i="1"/>
  <c r="W9" i="1"/>
  <c r="Y9" i="1"/>
  <c r="W13" i="1"/>
  <c r="Y13" i="1"/>
  <c r="W36" i="1"/>
  <c r="Y36" i="1"/>
  <c r="W58" i="1"/>
  <c r="Y58" i="1"/>
  <c r="D70" i="1"/>
  <c r="D71" i="1"/>
  <c r="D75" i="1"/>
  <c r="U50" i="1"/>
  <c r="Q69" i="1"/>
  <c r="Q50" i="1"/>
  <c r="I32" i="1"/>
  <c r="Q42" i="1"/>
  <c r="I14" i="1"/>
  <c r="W37" i="1"/>
  <c r="Y37" i="1"/>
  <c r="W46" i="1"/>
  <c r="Y46" i="1"/>
  <c r="T70" i="1"/>
  <c r="T71" i="1"/>
  <c r="T75" i="1"/>
  <c r="W7" i="1"/>
  <c r="H70" i="1"/>
  <c r="H71" i="1"/>
  <c r="H75" i="1"/>
  <c r="I42" i="1"/>
  <c r="F70" i="1"/>
  <c r="F71" i="1"/>
  <c r="F75" i="1"/>
  <c r="M60" i="1"/>
  <c r="R70" i="1"/>
  <c r="R71" i="1"/>
  <c r="R75" i="1"/>
  <c r="G70" i="1"/>
  <c r="G71" i="1"/>
  <c r="G75" i="1"/>
  <c r="I69" i="1"/>
  <c r="W40" i="1"/>
  <c r="Y40" i="1"/>
  <c r="P70" i="1"/>
  <c r="P71" i="1"/>
  <c r="P75" i="1"/>
  <c r="N70" i="1"/>
  <c r="N71" i="1"/>
  <c r="N75" i="1"/>
  <c r="L70" i="1"/>
  <c r="L71" i="1"/>
  <c r="L75" i="1"/>
  <c r="M32" i="1"/>
  <c r="K70" i="1"/>
  <c r="K71" i="1"/>
  <c r="K75" i="1"/>
  <c r="M50" i="1"/>
  <c r="I50" i="1"/>
  <c r="W23" i="1"/>
  <c r="Y23" i="1"/>
  <c r="W27" i="1"/>
  <c r="Y27" i="1"/>
  <c r="W31" i="1"/>
  <c r="Y31" i="1"/>
  <c r="W21" i="1"/>
  <c r="Y21" i="1"/>
  <c r="W25" i="1"/>
  <c r="Y25" i="1"/>
  <c r="W29" i="1"/>
  <c r="Y29" i="1"/>
  <c r="W35" i="1"/>
  <c r="Y35" i="1"/>
  <c r="W39" i="1"/>
  <c r="Y39" i="1"/>
  <c r="W45" i="1"/>
  <c r="Y45" i="1"/>
  <c r="W48" i="1"/>
  <c r="Y48" i="1"/>
  <c r="W63" i="1"/>
  <c r="Y63" i="1"/>
  <c r="W66" i="1"/>
  <c r="Y66" i="1"/>
  <c r="W67" i="1"/>
  <c r="Y67" i="1"/>
  <c r="W12" i="1"/>
  <c r="Y12" i="1"/>
  <c r="W18" i="1"/>
  <c r="W22" i="1"/>
  <c r="Y22" i="1"/>
  <c r="W26" i="1"/>
  <c r="Y26" i="1"/>
  <c r="W30" i="1"/>
  <c r="Y30" i="1"/>
  <c r="W20" i="1"/>
  <c r="W28" i="1"/>
  <c r="Y28" i="1"/>
  <c r="W11" i="1"/>
  <c r="Y11" i="1"/>
  <c r="W38" i="1"/>
  <c r="Y38" i="1"/>
  <c r="W41" i="1"/>
  <c r="Y41" i="1"/>
  <c r="W49" i="1"/>
  <c r="Y49" i="1"/>
  <c r="W56" i="1"/>
  <c r="Y56" i="1"/>
  <c r="W53" i="1"/>
  <c r="Y53" i="1"/>
  <c r="W54" i="1"/>
  <c r="Y54" i="1"/>
  <c r="W59" i="1"/>
  <c r="Y59" i="1"/>
  <c r="W65" i="1"/>
  <c r="W64" i="1"/>
  <c r="Y64" i="1"/>
  <c r="W68" i="1"/>
  <c r="Y68" i="1"/>
  <c r="W57" i="1"/>
  <c r="Y57" i="1"/>
  <c r="W55" i="1"/>
  <c r="Y55" i="1"/>
  <c r="W8" i="1"/>
  <c r="Y8" i="1"/>
  <c r="W10" i="1"/>
  <c r="Y10" i="1"/>
  <c r="W24" i="1"/>
  <c r="Y24" i="1"/>
  <c r="W47" i="1"/>
  <c r="Y47" i="1"/>
  <c r="O70" i="1"/>
  <c r="O71" i="1"/>
  <c r="O75" i="1"/>
  <c r="S70" i="1"/>
  <c r="S71" i="1"/>
  <c r="S75" i="1"/>
  <c r="J70" i="1"/>
  <c r="J71" i="1"/>
  <c r="J75" i="1"/>
  <c r="U69" i="1"/>
  <c r="X60" i="1"/>
  <c r="X42" i="1"/>
  <c r="X50" i="1"/>
  <c r="M70" i="1"/>
  <c r="M71" i="1"/>
  <c r="M75" i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/>
  <c r="I75" i="1"/>
  <c r="U70" i="1"/>
  <c r="W69" i="1"/>
  <c r="W60" i="1"/>
  <c r="Y60" i="1"/>
  <c r="W32" i="1"/>
  <c r="W42" i="1"/>
  <c r="Y42" i="1"/>
  <c r="W50" i="1"/>
  <c r="Y50" i="1"/>
  <c r="W14" i="1"/>
  <c r="M81" i="1"/>
  <c r="U81" i="1"/>
  <c r="Q81" i="1"/>
  <c r="I81" i="1"/>
  <c r="U71" i="1"/>
  <c r="U75" i="1"/>
  <c r="Q71" i="1"/>
  <c r="Q75" i="1"/>
  <c r="W70" i="1"/>
  <c r="W71" i="1"/>
  <c r="W75" i="1"/>
  <c r="Z20" i="5"/>
  <c r="X20" i="1"/>
  <c r="Y20" i="1"/>
  <c r="X7" i="1"/>
  <c r="Y7" i="1"/>
  <c r="X14" i="1"/>
  <c r="Y14" i="1"/>
  <c r="I33" i="5" l="1"/>
  <c r="L18" i="5"/>
  <c r="L72" i="5"/>
  <c r="K76" i="5"/>
  <c r="L19" i="5"/>
  <c r="H30" i="5"/>
  <c r="H76" i="5"/>
  <c r="H33" i="5" l="1"/>
  <c r="Z19" i="5"/>
  <c r="X19" i="1"/>
  <c r="Y19" i="1" s="1"/>
  <c r="Z18" i="5"/>
  <c r="X18" i="1"/>
  <c r="X65" i="1"/>
  <c r="Z72" i="5"/>
  <c r="L76" i="5"/>
  <c r="K77" i="5"/>
  <c r="K78" i="5" s="1"/>
  <c r="K81" i="5" s="1"/>
  <c r="H77" i="5"/>
  <c r="I77" i="5"/>
  <c r="L33" i="5"/>
  <c r="Y18" i="1" l="1"/>
  <c r="X32" i="1"/>
  <c r="Y32" i="1" s="1"/>
  <c r="H78" i="5"/>
  <c r="Z76" i="5"/>
  <c r="Z33" i="5"/>
  <c r="Y65" i="1"/>
  <c r="X69" i="1"/>
  <c r="I78" i="5"/>
  <c r="L77" i="5"/>
  <c r="I81" i="5" l="1"/>
  <c r="L78" i="5"/>
  <c r="H81" i="5"/>
  <c r="X70" i="1"/>
  <c r="Y69" i="1"/>
  <c r="Z77" i="5"/>
  <c r="Y70" i="1" l="1"/>
  <c r="X71" i="1"/>
  <c r="Z78" i="5"/>
  <c r="L81" i="5"/>
  <c r="Z81" i="5" l="1"/>
  <c r="Y71" i="1"/>
  <c r="X75" i="1"/>
  <c r="Y75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<sst xmlns="http://schemas.openxmlformats.org/spreadsheetml/2006/main" count="300" uniqueCount="203">
  <si>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</si>
  <si>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</si>
  <si>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</si>
  <si>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</si>
  <si>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</si>
  <si>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</si>
  <si>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</si>
  <si>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</si>
  <si>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</si>
  <si>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</si>
  <si>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</si>
  <si>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</si>
  <si>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</si>
  <si>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</si>
  <si>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</si>
  <si>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</si>
  <si>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</si>
  <si>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</si>
  <si>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</si>
  <si>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</si>
  <si>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</si>
  <si>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</si>
  <si>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</si>
  <si>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</si>
  <si>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</si>
  <si>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</si>
  <si>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</si>
  <si>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</si>
  <si>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</si>
  <si>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</si>
  <si>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</si>
  <si>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</si>
  <si>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</si>
  <si>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</si>
  <si>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</si>
  <si>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</si>
  <si>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</si>
  <si>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</si>
  <si>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</si>
  <si>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</si>
  <si>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</si>
  <si>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</si>
  <si>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</si>
  <si>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</si>
  <si>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</si>
  <si>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</si>
  <si>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</si>
  <si>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</si>
  <si>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</si>
  <si>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</si>
  <si>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</si>
  <si>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</si>
  <si>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</si>
  <si>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</si>
  <si>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</si>
  <si>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</si>
  <si>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</si>
  <si>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</si>
  <si>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</si>
  <si>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</si>
  <si>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</si>
  <si>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</si>
  <si>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</si>
  <si>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</si>
  <si>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</si>
  <si>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</si>
  <si>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</si>
  <si>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</si>
  <si>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</si>
  <si>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</si>
  <si>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</si>
  <si>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</si>
  <si>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</si>
  <si>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</si>
  <si>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</si>
  <si>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</si>
  <si>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</si>
  <si>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</si>
  <si>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</si>
  <si>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</si>
  <si>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</si>
  <si>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</si>
  <si>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</si>
  <si>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</si>
  <si>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</si>
  <si>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</si>
  <si>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</si>
  <si>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</si>
  <si>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</si>
  <si>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</si>
  <si>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</si>
  <si>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</si>
  <si>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</si>
  <si>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</si>
  <si>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</si>
  <si>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</si>
  <si>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</si>
  <si>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</si>
  <si>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</si>
  <si>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</si>
  <si>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</si>
  <si>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</si>
  <si>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</si>
  <si>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</si>
  <si>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</si>
  <si>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</si>
  <si>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</si>
  <si>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</si>
  <si>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</si>
  <si>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</si>
  <si>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</si>
  <si>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</si>
  <si>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</si>
  <si>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</si>
  <si>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</si>
  <si>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</si>
  <si>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</si>
  <si>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</si>
  <si>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</si>
  <si>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</si>
  <si>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</si>
  <si>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</si>
  <si>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</si>
  <si>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</si>
  <si>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</si>
  <si>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</si>
  <si>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</si>
  <si>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</si>
  <si>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</si>
  <si>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</si>
  <si>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</si>
  <si>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</si>
  <si>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</si>
  <si>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</si>
  <si>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</si>
  <si>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</si>
  <si>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</si>
  <si>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</si>
  <si>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</si>
  <si>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</si>
  <si>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</si>
  <si>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</si>
  <si>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</si>
  <si>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</si>
  <si>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</si>
  <si>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</si>
  <si>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</si>
  <si>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</si>
  <si>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</si>
  <si>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</si>
  <si>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</si>
  <si>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</si>
  <si>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</si>
  <si>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</si>
  <si>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</si>
  <si>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</si>
  <si>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</si>
  <si>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</si>
  <si>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</si>
  <si>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</si>
  <si>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</si>
  <si>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</si>
  <si>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</si>
  <si>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</si>
  <si>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</si>
  <si>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</si>
  <si>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</si>
  <si>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</si>
  <si>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</si>
  <si>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</si>
  <si>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</si>
  <si>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</si>
  <si>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</si>
  <si>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</si>
  <si>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</si>
  <si>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</si>
  <si>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</si>
  <si>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</si>
  <si>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</si>
  <si>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</si>
  <si>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</si>
  <si>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</si>
  <si>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</si>
  <si>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</si>
  <si>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</si>
  <si>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Enter School Name: Eagle Academy PCS</t>
  </si>
  <si>
    <t xml:space="preserve">Enter School Contact Name: Joe M. Smith, CFO &amp; Melissa Hammett, Compliance Officer </t>
  </si>
  <si>
    <t>Enter School Contact Email: jsmith@eagleacademypcs.org &amp; mhammett@eagleacademypcs.org</t>
  </si>
  <si>
    <t>Enter School Contact Phone Number: 202-554-8505 Ext. 505 or Ext. 503</t>
  </si>
  <si>
    <t>Enter Fiscal Year: 2016-2017SY</t>
  </si>
  <si>
    <t>Smartboards, Computers, and Materials</t>
  </si>
  <si>
    <t>Classroom Furnishings and Supplies</t>
  </si>
  <si>
    <t>Kitchen</t>
  </si>
  <si>
    <t>Utilities and Operations</t>
  </si>
  <si>
    <t>NJ Avenue RE Tax</t>
  </si>
  <si>
    <t>Marketing and Advertising</t>
  </si>
  <si>
    <t>Office Supplies and Materials,Furnishings</t>
  </si>
  <si>
    <t>Federal Entitlements (NCLB/IDEA)</t>
  </si>
  <si>
    <t>School Year/Summer Voucher Program</t>
  </si>
  <si>
    <t>Central Office/Principals/Admin</t>
  </si>
  <si>
    <t>Textbooks/Curriculum</t>
  </si>
  <si>
    <t>Kitchen Salaries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</si>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</sst>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39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</cellStyleXfs>
  <cellXfs count="132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165" fontId="62" fillId="0" borderId="0" xfId="1" applyNumberFormat="1" applyFont="1" applyBorder="1"/>
    <xf numFmtId="165" fontId="3" fillId="0" borderId="0" xfId="1" applyNumberFormat="1" applyFont="1"/>
    <xf numFmtId="165" fontId="22" fillId="0" borderId="3" xfId="1" applyNumberFormat="1" applyFont="1" applyFill="1" applyBorder="1"/>
    <xf numFmtId="165" fontId="22" fillId="0" borderId="0" xfId="1" applyNumberFormat="1" applyFont="1" applyBorder="1"/>
    <xf numFmtId="165" fontId="3" fillId="0" borderId="2" xfId="1" applyNumberFormat="1" applyFont="1" applyBorder="1"/>
    <xf numFmtId="165" fontId="22" fillId="0" borderId="0" xfId="1" applyNumberFormat="1" applyFont="1" applyFill="1" applyBorder="1"/>
    <xf numFmtId="165" fontId="22" fillId="0" borderId="3" xfId="1" applyNumberFormat="1" applyFont="1" applyBorder="1"/>
    <xf numFmtId="165" fontId="22" fillId="0" borderId="2" xfId="1" applyNumberFormat="1" applyFont="1" applyFill="1" applyBorder="1"/>
    <xf numFmtId="0" fontId="3" fillId="62" borderId="0" xfId="2" applyFont="1" applyFill="1" applyBorder="1"/>
    <xf numFmtId="165" fontId="3" fillId="62" borderId="0" xfId="2" applyNumberFormat="1" applyFont="1" applyFill="1"/>
    <xf numFmtId="0" fontId="3" fillId="62" borderId="0" xfId="2" applyFont="1" applyFill="1"/>
    <xf numFmtId="0" fontId="62" fillId="0" borderId="0" xfId="2" applyFont="1" applyFill="1" applyBorder="1"/>
    <xf numFmtId="165" fontId="62" fillId="0" borderId="0" xfId="1" applyNumberFormat="1" applyFont="1" applyFill="1" applyBorder="1"/>
    <xf numFmtId="165" fontId="3" fillId="0" borderId="0" xfId="1" applyNumberFormat="1" applyFont="1" applyFill="1"/>
    <xf numFmtId="165" fontId="3" fillId="0" borderId="2" xfId="1" applyNumberFormat="1" applyFont="1" applyFill="1" applyBorder="1"/>
    <xf numFmtId="165" fontId="22" fillId="0" borderId="1" xfId="1" applyNumberFormat="1" applyFont="1" applyFill="1" applyBorder="1"/>
    <xf numFmtId="0" fontId="3" fillId="2" borderId="0" xfId="2" applyFont="1" applyFill="1" applyBorder="1"/>
    <xf numFmtId="165" fontId="3" fillId="2" borderId="0" xfId="2" applyNumberFormat="1" applyFont="1" applyFill="1"/>
    <xf numFmtId="0" fontId="3" fillId="2" borderId="0" xfId="2" applyFont="1" applyFill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1039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do/Downloads/2017%20Eagle%20Budget/REvised%20Salary%202017/1.0%20Salaries%20SecCustodial%20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do/Downloads/Eagle%20Budget%202017%20Board%20Approve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do/Downloads/2017%20Eagle%20Budget/REvised%20Salary%202017/Central%20Office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do/Downloads/2017%20Eagle%20Budget/REvised%20Salary%202017/1.0%20Salaries%201-3rd,%20Specials,%20and%20Coaches,%20sec%20%202017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do/Downloads/2017%20Eagle%20Budget/REvised%20Salary%202017/1.0%20SALARIES%20Capitol%20R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do/Downloads/2017%20Eagle%20Budget/REvised%20Salary%202017/1.0%20Salaries%20PreK%20thru%20K%202017%20budge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do/Downloads/2017%20Eagle%20Budget/REvised%20Salary%202017/1.0%20Salaries%20SPED%20Staff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do/Downloads/2017%20Eagle%20Budget/REvised%20Salary%202017/IT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G12">
            <v>189450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SFF"/>
      <sheetName val="Year 14"/>
      <sheetName val="Year 14 Cash flow"/>
      <sheetName val="Summary"/>
    </sheetNames>
    <sheetDataSet>
      <sheetData sheetId="0" refreshError="1"/>
      <sheetData sheetId="1" refreshError="1">
        <row r="29">
          <cell r="G29">
            <v>127051</v>
          </cell>
        </row>
        <row r="30">
          <cell r="G30">
            <v>244983</v>
          </cell>
        </row>
        <row r="31">
          <cell r="G31">
            <v>35000</v>
          </cell>
        </row>
        <row r="32">
          <cell r="G32">
            <v>30000</v>
          </cell>
        </row>
        <row r="33">
          <cell r="G33">
            <v>125000</v>
          </cell>
        </row>
        <row r="34">
          <cell r="G34">
            <v>25000</v>
          </cell>
        </row>
        <row r="35">
          <cell r="G35">
            <v>9000</v>
          </cell>
        </row>
        <row r="36">
          <cell r="G36">
            <v>22000</v>
          </cell>
        </row>
        <row r="37">
          <cell r="G37">
            <v>104000</v>
          </cell>
        </row>
        <row r="40">
          <cell r="G40">
            <v>197000</v>
          </cell>
        </row>
        <row r="49">
          <cell r="G49">
            <v>25000</v>
          </cell>
        </row>
        <row r="53">
          <cell r="G53">
            <v>323400</v>
          </cell>
        </row>
        <row r="54">
          <cell r="G54">
            <v>55000</v>
          </cell>
        </row>
        <row r="55">
          <cell r="G55">
            <v>30000</v>
          </cell>
        </row>
        <row r="56">
          <cell r="G56">
            <v>20000</v>
          </cell>
        </row>
        <row r="58">
          <cell r="G58">
            <v>39160</v>
          </cell>
        </row>
        <row r="59">
          <cell r="G59">
            <v>193053</v>
          </cell>
        </row>
        <row r="61">
          <cell r="G61">
            <v>50000</v>
          </cell>
        </row>
        <row r="62">
          <cell r="G62">
            <v>383000</v>
          </cell>
        </row>
        <row r="70">
          <cell r="G70">
            <v>85000</v>
          </cell>
        </row>
        <row r="71">
          <cell r="G71">
            <v>12000</v>
          </cell>
        </row>
        <row r="72">
          <cell r="G72">
            <v>81638</v>
          </cell>
        </row>
        <row r="73">
          <cell r="G73">
            <v>182012.88</v>
          </cell>
        </row>
        <row r="74">
          <cell r="G74">
            <v>33000</v>
          </cell>
        </row>
        <row r="75">
          <cell r="G75">
            <v>9000</v>
          </cell>
        </row>
        <row r="77">
          <cell r="G77">
            <v>160000</v>
          </cell>
        </row>
        <row r="87">
          <cell r="G87">
            <v>198815.2464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G3">
            <v>63500</v>
          </cell>
        </row>
        <row r="14">
          <cell r="G14">
            <v>25960</v>
          </cell>
        </row>
        <row r="24">
          <cell r="G24">
            <v>45000</v>
          </cell>
        </row>
        <row r="29">
          <cell r="G29">
            <v>2008050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0">
          <cell r="G50">
            <v>733400.48</v>
          </cell>
        </row>
        <row r="51">
          <cell r="G51">
            <v>156786.46000000002</v>
          </cell>
        </row>
        <row r="52">
          <cell r="G52">
            <v>1749761.060000001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">
          <cell r="G26">
            <v>53000</v>
          </cell>
        </row>
        <row r="27">
          <cell r="G27">
            <v>40005.019999999997</v>
          </cell>
        </row>
        <row r="28">
          <cell r="G28">
            <v>232085.03999999998</v>
          </cell>
        </row>
        <row r="29">
          <cell r="G29">
            <v>29080</v>
          </cell>
        </row>
        <row r="30">
          <cell r="G30">
            <v>763660.24000000011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3">
          <cell r="G53">
            <v>834670</v>
          </cell>
        </row>
        <row r="54">
          <cell r="G54">
            <v>1353100.2000000002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3">
          <cell r="G33">
            <v>1739130.04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F7">
            <v>261999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20" sqref="A20"/>
    </sheetView>
  </sheetViews>
  <sheetFormatPr defaultColWidth="9.109375" defaultRowHeight="13.2" x14ac:dyDescent="0.25"/>
  <cols>
    <col min="1" max="1" width="49.6640625" style="73" bestFit="1" customWidth="1"/>
    <col min="2" max="3" width="9.109375" style="73"/>
    <col min="4" max="4" width="52.44140625" style="73" customWidth="1"/>
    <col min="5" max="16384" width="9.109375" style="73"/>
  </cols>
  <sheetData>
    <row r="1" spans="1:1" x14ac:dyDescent="0.25">
      <c r="A1" s="72" t="s">
        <v>168</v>
      </c>
    </row>
    <row r="2" spans="1:1" x14ac:dyDescent="0.25">
      <c r="A2" s="74" t="s">
        <v>185</v>
      </c>
    </row>
    <row r="4" spans="1:1" x14ac:dyDescent="0.25">
      <c r="A4" s="74" t="s">
        <v>186</v>
      </c>
    </row>
    <row r="5" spans="1:1" x14ac:dyDescent="0.25">
      <c r="A5" s="74" t="s">
        <v>187</v>
      </c>
    </row>
    <row r="6" spans="1:1" x14ac:dyDescent="0.25">
      <c r="A6" s="74" t="s">
        <v>188</v>
      </c>
    </row>
    <row r="8" spans="1:1" x14ac:dyDescent="0.25">
      <c r="A8" s="74" t="s">
        <v>189</v>
      </c>
    </row>
    <row r="9" spans="1:1" x14ac:dyDescent="0.25">
      <c r="A9" s="74" t="s">
        <v>169</v>
      </c>
    </row>
  </sheetData>
  <pageMargins left="0.7" right="0.7" top="0.75" bottom="0.75" header="0.3" footer="0.3"/>
  <pageSetup paperSize="12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topLeftCell="A22" zoomScaleNormal="115" zoomScaleSheetLayoutView="100" zoomScalePageLayoutView="115" workbookViewId="0">
      <selection activeCell="B18" sqref="B18"/>
    </sheetView>
  </sheetViews>
  <sheetFormatPr defaultColWidth="7.44140625" defaultRowHeight="13.2" x14ac:dyDescent="0.25"/>
  <cols>
    <col min="1" max="1" width="31.44140625" style="3" customWidth="1"/>
    <col min="2" max="2" width="26.44140625" style="35" customWidth="1"/>
    <col min="3" max="4" width="15.6640625" style="35" customWidth="1"/>
    <col min="5" max="5" width="12" style="3" bestFit="1" customWidth="1"/>
    <col min="6" max="6" width="11.109375" style="3" bestFit="1" customWidth="1"/>
    <col min="7" max="16384" width="7.44140625" style="3"/>
  </cols>
  <sheetData>
    <row r="1" spans="1:4" x14ac:dyDescent="0.25">
      <c r="A1" s="75" t="str">
        <f>'Cover Sheet'!A2</f>
        <v>Enter School Name: Eagle Academy PCS</v>
      </c>
    </row>
    <row r="2" spans="1:4" x14ac:dyDescent="0.25">
      <c r="A2" s="3" t="str">
        <f>'Cover Sheet'!A8&amp;" Enrollment Data"</f>
        <v>Enter Fiscal Year: 2016-2017SY Enrollment Data</v>
      </c>
    </row>
    <row r="3" spans="1:4" x14ac:dyDescent="0.25">
      <c r="A3" s="14"/>
      <c r="B3" s="15"/>
      <c r="C3" s="16"/>
      <c r="D3" s="16"/>
    </row>
    <row r="4" spans="1:4" ht="31.5" customHeight="1" x14ac:dyDescent="0.25">
      <c r="A4" s="129" t="s">
        <v>69</v>
      </c>
      <c r="B4" s="128" t="s">
        <v>112</v>
      </c>
      <c r="C4" s="128" t="s">
        <v>154</v>
      </c>
      <c r="D4" s="128" t="s">
        <v>153</v>
      </c>
    </row>
    <row r="5" spans="1:4" ht="16.5" customHeight="1" x14ac:dyDescent="0.25">
      <c r="A5" s="130"/>
      <c r="B5" s="128"/>
      <c r="C5" s="128"/>
      <c r="D5" s="128"/>
    </row>
    <row r="6" spans="1:4" ht="12.75" customHeight="1" x14ac:dyDescent="0.25">
      <c r="A6" s="8" t="s">
        <v>70</v>
      </c>
      <c r="B6" s="36">
        <v>180</v>
      </c>
      <c r="C6" s="37">
        <v>142</v>
      </c>
      <c r="D6" s="37"/>
    </row>
    <row r="7" spans="1:4" ht="12.75" customHeight="1" x14ac:dyDescent="0.25">
      <c r="A7" s="8" t="s">
        <v>71</v>
      </c>
      <c r="B7" s="36">
        <v>205</v>
      </c>
      <c r="C7" s="37">
        <v>170</v>
      </c>
      <c r="D7" s="37"/>
    </row>
    <row r="8" spans="1:4" ht="12.75" customHeight="1" x14ac:dyDescent="0.25">
      <c r="A8" s="8" t="s">
        <v>72</v>
      </c>
      <c r="B8" s="36">
        <v>167</v>
      </c>
      <c r="C8" s="37">
        <v>194</v>
      </c>
      <c r="D8" s="37"/>
    </row>
    <row r="9" spans="1:4" ht="12.75" customHeight="1" x14ac:dyDescent="0.25">
      <c r="A9" s="8" t="s">
        <v>73</v>
      </c>
      <c r="B9" s="36">
        <v>144</v>
      </c>
      <c r="C9" s="37">
        <v>158</v>
      </c>
      <c r="D9" s="37"/>
    </row>
    <row r="10" spans="1:4" ht="12.75" customHeight="1" x14ac:dyDescent="0.25">
      <c r="A10" s="8" t="s">
        <v>74</v>
      </c>
      <c r="B10" s="36">
        <v>125</v>
      </c>
      <c r="C10" s="37">
        <v>138</v>
      </c>
      <c r="D10" s="37"/>
    </row>
    <row r="11" spans="1:4" ht="12.75" customHeight="1" x14ac:dyDescent="0.25">
      <c r="A11" s="8" t="s">
        <v>75</v>
      </c>
      <c r="B11" s="36">
        <v>99</v>
      </c>
      <c r="C11" s="37">
        <v>118</v>
      </c>
      <c r="D11" s="37"/>
    </row>
    <row r="12" spans="1:4" ht="12.75" customHeight="1" x14ac:dyDescent="0.25">
      <c r="A12" s="8" t="s">
        <v>76</v>
      </c>
      <c r="B12" s="36"/>
      <c r="C12" s="37"/>
      <c r="D12" s="37"/>
    </row>
    <row r="13" spans="1:4" ht="12.75" customHeight="1" x14ac:dyDescent="0.25">
      <c r="A13" s="8" t="s">
        <v>77</v>
      </c>
      <c r="B13" s="36"/>
      <c r="C13" s="37"/>
      <c r="D13" s="37"/>
    </row>
    <row r="14" spans="1:4" ht="12.75" customHeight="1" x14ac:dyDescent="0.25">
      <c r="A14" s="9" t="s">
        <v>78</v>
      </c>
      <c r="B14" s="36"/>
      <c r="C14" s="37"/>
      <c r="D14" s="37"/>
    </row>
    <row r="15" spans="1:4" ht="12.75" customHeight="1" x14ac:dyDescent="0.25">
      <c r="A15" s="9" t="s">
        <v>79</v>
      </c>
      <c r="B15" s="36"/>
      <c r="C15" s="37"/>
      <c r="D15" s="37"/>
    </row>
    <row r="16" spans="1:4" ht="12.75" customHeight="1" x14ac:dyDescent="0.25">
      <c r="A16" s="9" t="s">
        <v>80</v>
      </c>
      <c r="B16" s="36"/>
      <c r="C16" s="37"/>
      <c r="D16" s="37"/>
    </row>
    <row r="17" spans="1:4" ht="12.75" customHeight="1" x14ac:dyDescent="0.25">
      <c r="A17" s="8" t="s">
        <v>81</v>
      </c>
      <c r="B17" s="36"/>
      <c r="C17" s="37"/>
      <c r="D17" s="37"/>
    </row>
    <row r="18" spans="1:4" ht="12.75" customHeight="1" x14ac:dyDescent="0.25">
      <c r="A18" s="8" t="s">
        <v>82</v>
      </c>
      <c r="B18" s="36"/>
      <c r="C18" s="37"/>
      <c r="D18" s="37"/>
    </row>
    <row r="19" spans="1:4" ht="12.75" customHeight="1" x14ac:dyDescent="0.25">
      <c r="A19" s="8" t="s">
        <v>83</v>
      </c>
      <c r="B19" s="36"/>
      <c r="C19" s="37"/>
      <c r="D19" s="37"/>
    </row>
    <row r="20" spans="1:4" ht="12.75" customHeight="1" x14ac:dyDescent="0.25">
      <c r="A20" s="8" t="s">
        <v>84</v>
      </c>
      <c r="B20" s="36"/>
      <c r="C20" s="37"/>
      <c r="D20" s="37"/>
    </row>
    <row r="21" spans="1:4" ht="12.75" customHeight="1" x14ac:dyDescent="0.25">
      <c r="A21" s="8" t="s">
        <v>85</v>
      </c>
      <c r="B21" s="36"/>
      <c r="C21" s="37"/>
      <c r="D21" s="37"/>
    </row>
    <row r="22" spans="1:4" ht="12.75" customHeight="1" x14ac:dyDescent="0.25">
      <c r="A22" s="8" t="s">
        <v>86</v>
      </c>
      <c r="B22" s="36"/>
      <c r="C22" s="37"/>
      <c r="D22" s="37"/>
    </row>
    <row r="23" spans="1:4" ht="13.5" customHeight="1" x14ac:dyDescent="0.25">
      <c r="A23" s="9" t="s">
        <v>87</v>
      </c>
      <c r="B23" s="36"/>
      <c r="C23" s="37"/>
      <c r="D23" s="37"/>
    </row>
    <row r="24" spans="1:4" x14ac:dyDescent="0.25">
      <c r="A24" s="17" t="s">
        <v>88</v>
      </c>
      <c r="B24" s="13">
        <f>SUM(B6:B23)</f>
        <v>920</v>
      </c>
      <c r="C24" s="13">
        <f>SUM(C6:C23)</f>
        <v>920</v>
      </c>
      <c r="D24" s="13">
        <f>SUM(D6:D23)</f>
        <v>0</v>
      </c>
    </row>
    <row r="25" spans="1:4" x14ac:dyDescent="0.25">
      <c r="A25" s="18"/>
      <c r="B25" s="19"/>
      <c r="C25" s="11"/>
      <c r="D25" s="11"/>
    </row>
    <row r="26" spans="1:4" ht="26.4" x14ac:dyDescent="0.25">
      <c r="A26" s="17" t="s">
        <v>89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5">
      <c r="A27" s="8" t="s">
        <v>90</v>
      </c>
      <c r="B27" s="36"/>
      <c r="C27" s="37"/>
      <c r="D27" s="37"/>
    </row>
    <row r="28" spans="1:4" ht="12.75" customHeight="1" x14ac:dyDescent="0.25">
      <c r="A28" s="8" t="s">
        <v>91</v>
      </c>
      <c r="B28" s="36"/>
      <c r="C28" s="37"/>
      <c r="D28" s="37"/>
    </row>
    <row r="29" spans="1:4" ht="12.75" customHeight="1" x14ac:dyDescent="0.25">
      <c r="A29" s="8" t="s">
        <v>92</v>
      </c>
      <c r="B29" s="36"/>
      <c r="C29" s="37"/>
      <c r="D29" s="37"/>
    </row>
    <row r="30" spans="1:4" ht="12.75" customHeight="1" x14ac:dyDescent="0.25">
      <c r="A30" s="8" t="s">
        <v>93</v>
      </c>
      <c r="B30" s="36"/>
      <c r="C30" s="37"/>
      <c r="D30" s="37"/>
    </row>
    <row r="31" spans="1:4" ht="13.5" customHeight="1" x14ac:dyDescent="0.25">
      <c r="A31" s="17" t="s">
        <v>94</v>
      </c>
      <c r="B31" s="13">
        <f>SUM(B27:B30)</f>
        <v>0</v>
      </c>
      <c r="C31" s="13">
        <f>SUM(C27:C30)</f>
        <v>0</v>
      </c>
      <c r="D31" s="13">
        <f>SUM(D27:D30)</f>
        <v>0</v>
      </c>
    </row>
    <row r="32" spans="1:4" ht="13.5" customHeight="1" x14ac:dyDescent="0.25">
      <c r="A32" s="21"/>
      <c r="B32" s="22"/>
      <c r="C32" s="11"/>
      <c r="D32" s="11"/>
    </row>
    <row r="33" spans="1:6" ht="13.8" x14ac:dyDescent="0.3">
      <c r="A33" s="23"/>
      <c r="B33" s="22"/>
      <c r="C33" s="11"/>
      <c r="D33" s="11"/>
    </row>
    <row r="34" spans="1:6" ht="32.25" customHeight="1" x14ac:dyDescent="0.25">
      <c r="A34" s="12" t="s">
        <v>95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5">
      <c r="A35" s="12" t="s">
        <v>96</v>
      </c>
      <c r="B35" s="38">
        <v>0</v>
      </c>
      <c r="C35" s="39">
        <v>0</v>
      </c>
      <c r="D35" s="39">
        <v>0</v>
      </c>
    </row>
    <row r="36" spans="1:6" x14ac:dyDescent="0.25">
      <c r="A36" s="21"/>
      <c r="B36" s="22"/>
      <c r="C36" s="11"/>
      <c r="D36" s="11"/>
    </row>
    <row r="37" spans="1:6" ht="12.75" customHeight="1" x14ac:dyDescent="0.25">
      <c r="A37" s="12" t="s">
        <v>97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5">
      <c r="A38" s="7" t="s">
        <v>98</v>
      </c>
      <c r="B38" s="40"/>
      <c r="C38" s="37"/>
      <c r="D38" s="37"/>
    </row>
    <row r="39" spans="1:6" ht="12.75" customHeight="1" x14ac:dyDescent="0.25">
      <c r="A39" s="7" t="s">
        <v>99</v>
      </c>
      <c r="B39" s="40"/>
      <c r="C39" s="37"/>
      <c r="D39" s="37"/>
    </row>
    <row r="40" spans="1:6" ht="12.75" customHeight="1" x14ac:dyDescent="0.25">
      <c r="A40" s="7" t="s">
        <v>100</v>
      </c>
      <c r="B40" s="40"/>
      <c r="C40" s="37"/>
      <c r="D40" s="37"/>
      <c r="F40" s="4"/>
    </row>
    <row r="41" spans="1:6" ht="12.75" customHeight="1" x14ac:dyDescent="0.25">
      <c r="A41" s="7" t="s">
        <v>101</v>
      </c>
      <c r="B41" s="40"/>
      <c r="C41" s="37"/>
      <c r="D41" s="37"/>
      <c r="F41" s="4"/>
    </row>
    <row r="42" spans="1:6" ht="13.5" customHeight="1" x14ac:dyDescent="0.25">
      <c r="A42" s="24" t="s">
        <v>102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5">
      <c r="A43" s="18"/>
      <c r="B43" s="22"/>
      <c r="C43" s="25"/>
      <c r="D43" s="25"/>
      <c r="F43" s="4"/>
    </row>
    <row r="44" spans="1:6" ht="26.4" x14ac:dyDescent="0.25">
      <c r="A44" s="26" t="s">
        <v>103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5">
      <c r="A45" s="12" t="s">
        <v>104</v>
      </c>
      <c r="B45" s="41"/>
      <c r="C45" s="39"/>
      <c r="D45" s="39"/>
      <c r="F45" s="4"/>
    </row>
    <row r="46" spans="1:6" ht="13.5" customHeight="1" x14ac:dyDescent="0.25">
      <c r="A46" s="21"/>
      <c r="B46" s="22"/>
      <c r="C46" s="27"/>
      <c r="D46" s="27"/>
      <c r="F46" s="4"/>
    </row>
    <row r="47" spans="1:6" ht="12.75" customHeight="1" x14ac:dyDescent="0.25">
      <c r="A47" s="7" t="s">
        <v>105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5">
      <c r="A48" s="12" t="s">
        <v>105</v>
      </c>
      <c r="B48" s="38"/>
      <c r="C48" s="39"/>
      <c r="D48" s="39"/>
      <c r="F48" s="4"/>
    </row>
    <row r="49" spans="1:6" x14ac:dyDescent="0.25">
      <c r="A49" s="21"/>
      <c r="B49" s="22"/>
      <c r="C49" s="27"/>
      <c r="D49" s="27"/>
      <c r="F49" s="4"/>
    </row>
    <row r="50" spans="1:6" ht="12.75" customHeight="1" x14ac:dyDescent="0.25">
      <c r="A50" s="12" t="s">
        <v>151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5">
      <c r="A51" s="12" t="s">
        <v>152</v>
      </c>
      <c r="B51" s="38">
        <v>569</v>
      </c>
      <c r="C51" s="39">
        <v>555</v>
      </c>
      <c r="D51" s="39"/>
      <c r="F51" s="4"/>
    </row>
    <row r="52" spans="1:6" x14ac:dyDescent="0.25">
      <c r="A52" s="28"/>
      <c r="B52" s="10"/>
      <c r="C52" s="29"/>
      <c r="D52" s="29"/>
      <c r="F52" s="4"/>
    </row>
    <row r="53" spans="1:6" ht="26.4" x14ac:dyDescent="0.25">
      <c r="A53" s="12" t="s">
        <v>106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5">
      <c r="A54" s="7" t="s">
        <v>107</v>
      </c>
      <c r="B54" s="42">
        <v>65</v>
      </c>
      <c r="C54" s="42">
        <v>65</v>
      </c>
      <c r="D54" s="37"/>
      <c r="F54" s="4"/>
    </row>
    <row r="55" spans="1:6" ht="12.75" customHeight="1" x14ac:dyDescent="0.25">
      <c r="A55" s="7" t="s">
        <v>108</v>
      </c>
      <c r="B55" s="42">
        <v>45</v>
      </c>
      <c r="C55" s="42">
        <v>45</v>
      </c>
      <c r="D55" s="37"/>
      <c r="F55" s="4"/>
    </row>
    <row r="56" spans="1:6" ht="12.75" customHeight="1" x14ac:dyDescent="0.25">
      <c r="A56" s="7" t="s">
        <v>109</v>
      </c>
      <c r="B56" s="42">
        <v>9</v>
      </c>
      <c r="C56" s="42">
        <v>9</v>
      </c>
      <c r="D56" s="37"/>
      <c r="F56" s="4"/>
    </row>
    <row r="57" spans="1:6" ht="12.75" customHeight="1" x14ac:dyDescent="0.25">
      <c r="A57" s="7" t="s">
        <v>110</v>
      </c>
      <c r="B57" s="42">
        <v>25</v>
      </c>
      <c r="C57" s="42">
        <v>25</v>
      </c>
      <c r="D57" s="37"/>
      <c r="F57" s="4"/>
    </row>
    <row r="58" spans="1:6" ht="14.25" customHeight="1" x14ac:dyDescent="0.3">
      <c r="A58" s="30" t="s">
        <v>111</v>
      </c>
      <c r="B58" s="13">
        <f>SUM(B54:B57)</f>
        <v>144</v>
      </c>
      <c r="C58" s="13">
        <f>SUM(C54:C57)</f>
        <v>144</v>
      </c>
      <c r="D58" s="13">
        <f>SUM(D54:D57)</f>
        <v>0</v>
      </c>
      <c r="F58" s="4"/>
    </row>
    <row r="59" spans="1:6" x14ac:dyDescent="0.25">
      <c r="A59" s="5"/>
      <c r="B59" s="10"/>
      <c r="C59" s="11"/>
      <c r="D59" s="11"/>
      <c r="F59" s="4"/>
    </row>
    <row r="60" spans="1:6" x14ac:dyDescent="0.25">
      <c r="A60" s="31"/>
      <c r="B60" s="32"/>
      <c r="C60" s="32"/>
      <c r="D60" s="32"/>
      <c r="F60" s="4"/>
    </row>
    <row r="61" spans="1:6" x14ac:dyDescent="0.25">
      <c r="A61" s="33"/>
      <c r="B61" s="34"/>
      <c r="C61" s="34"/>
      <c r="D61" s="34"/>
      <c r="E61" s="4"/>
      <c r="F61" s="6"/>
    </row>
    <row r="62" spans="1:6" x14ac:dyDescent="0.25">
      <c r="F62" s="4"/>
    </row>
    <row r="63" spans="1:6" x14ac:dyDescent="0.25">
      <c r="F63" s="4"/>
    </row>
    <row r="64" spans="1:6" x14ac:dyDescent="0.25">
      <c r="F64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3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D81"/>
  <sheetViews>
    <sheetView showGridLines="0" tabSelected="1" view="pageBreakPreview" zoomScaleSheetLayoutView="100" workbookViewId="0">
      <selection activeCell="AC71" sqref="AC71"/>
    </sheetView>
  </sheetViews>
  <sheetFormatPr defaultColWidth="9.109375" defaultRowHeight="12.75" customHeight="1" x14ac:dyDescent="0.25"/>
  <cols>
    <col min="1" max="1" width="1.77734375" style="43" customWidth="1"/>
    <col min="2" max="2" width="30.44140625" style="43" customWidth="1"/>
    <col min="3" max="3" width="2.77734375" style="43" customWidth="1"/>
    <col min="4" max="4" width="14.77734375" style="43" bestFit="1" customWidth="1"/>
    <col min="5" max="5" width="2.6640625" style="2" customWidth="1"/>
    <col min="6" max="6" width="10.6640625" style="44" customWidth="1"/>
    <col min="7" max="7" width="2.6640625" style="2" customWidth="1"/>
    <col min="8" max="8" width="14.77734375" style="43" bestFit="1" customWidth="1"/>
    <col min="9" max="9" width="13.33203125" style="43" customWidth="1"/>
    <col min="10" max="10" width="12.6640625" style="43" customWidth="1"/>
    <col min="11" max="12" width="14.33203125" style="43" customWidth="1"/>
    <col min="13" max="13" width="14" style="43" customWidth="1"/>
    <col min="14" max="14" width="14.109375" style="43" customWidth="1"/>
    <col min="15" max="15" width="14.6640625" style="43" customWidth="1"/>
    <col min="16" max="17" width="14.33203125" style="43" customWidth="1"/>
    <col min="18" max="18" width="14.5546875" style="43" customWidth="1"/>
    <col min="19" max="19" width="15" style="43" customWidth="1"/>
    <col min="20" max="20" width="14.5546875" style="43" customWidth="1"/>
    <col min="21" max="21" width="13.77734375" style="43" customWidth="1"/>
    <col min="22" max="22" width="14.5546875" style="43" customWidth="1"/>
    <col min="23" max="23" width="14.88671875" style="43" customWidth="1"/>
    <col min="24" max="24" width="14.5546875" style="43" bestFit="1" customWidth="1"/>
    <col min="25" max="25" width="2.6640625" style="43" customWidth="1"/>
    <col min="26" max="26" width="14.77734375" style="43" customWidth="1"/>
    <col min="27" max="29" width="11.21875" style="43" bestFit="1" customWidth="1"/>
    <col min="30" max="30" width="11.88671875" style="43" bestFit="1" customWidth="1"/>
    <col min="31" max="16384" width="9.109375" style="43"/>
  </cols>
  <sheetData>
    <row r="1" spans="1:30" ht="12.75" customHeight="1" x14ac:dyDescent="0.25">
      <c r="A1" s="61" t="str">
        <f>'Cover Sheet'!A2</f>
        <v>Enter School Name: Eagle Academy PCS</v>
      </c>
      <c r="B1" s="61"/>
    </row>
    <row r="2" spans="1:30" ht="12.75" customHeight="1" x14ac:dyDescent="0.25">
      <c r="A2" s="43" t="str">
        <f>'Cover Sheet'!A8&amp;" Annual Budget"</f>
        <v>Enter Fiscal Year: 2016-2017SY Annual Budget</v>
      </c>
    </row>
    <row r="3" spans="1:30" ht="13.2" x14ac:dyDescent="0.25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5"/>
    </row>
    <row r="4" spans="1:30" ht="13.2" x14ac:dyDescent="0.25">
      <c r="A4" s="2"/>
      <c r="B4" s="2"/>
      <c r="C4" s="45"/>
      <c r="D4" s="48" t="s">
        <v>183</v>
      </c>
      <c r="E4" s="49"/>
      <c r="F4" s="49"/>
      <c r="G4" s="49"/>
      <c r="H4" s="48" t="s">
        <v>202</v>
      </c>
      <c r="I4" s="48" t="s">
        <v>171</v>
      </c>
      <c r="J4" s="48" t="s">
        <v>172</v>
      </c>
      <c r="K4" s="48" t="s">
        <v>173</v>
      </c>
      <c r="L4" s="48" t="s">
        <v>113</v>
      </c>
      <c r="M4" s="48" t="s">
        <v>174</v>
      </c>
      <c r="N4" s="48" t="s">
        <v>175</v>
      </c>
      <c r="O4" s="48" t="s">
        <v>176</v>
      </c>
      <c r="P4" s="48" t="s">
        <v>114</v>
      </c>
      <c r="Q4" s="48" t="s">
        <v>177</v>
      </c>
      <c r="R4" s="48" t="s">
        <v>178</v>
      </c>
      <c r="S4" s="48" t="s">
        <v>179</v>
      </c>
      <c r="T4" s="48" t="s">
        <v>115</v>
      </c>
      <c r="U4" s="48" t="s">
        <v>180</v>
      </c>
      <c r="V4" s="48" t="s">
        <v>181</v>
      </c>
      <c r="W4" s="48" t="s">
        <v>182</v>
      </c>
      <c r="X4" s="48" t="s">
        <v>116</v>
      </c>
      <c r="Y4" s="45"/>
      <c r="Z4" s="48" t="s">
        <v>184</v>
      </c>
    </row>
    <row r="5" spans="1:30" ht="13.2" x14ac:dyDescent="0.25">
      <c r="B5" s="2"/>
      <c r="C5" s="45"/>
      <c r="D5" s="50" t="s">
        <v>2</v>
      </c>
      <c r="E5" s="51"/>
      <c r="F5" s="51"/>
      <c r="G5" s="51"/>
      <c r="H5" s="50" t="str">
        <f>D5</f>
        <v>Budget</v>
      </c>
      <c r="I5" s="50" t="s">
        <v>2</v>
      </c>
      <c r="J5" s="50" t="str">
        <f>H5</f>
        <v>Budget</v>
      </c>
      <c r="K5" s="50" t="str">
        <f t="shared" ref="K5:X5" si="0">J5</f>
        <v>Budget</v>
      </c>
      <c r="L5" s="50" t="str">
        <f t="shared" si="0"/>
        <v>Budget</v>
      </c>
      <c r="M5" s="50" t="str">
        <f t="shared" si="0"/>
        <v>Budget</v>
      </c>
      <c r="N5" s="50" t="str">
        <f t="shared" si="0"/>
        <v>Budget</v>
      </c>
      <c r="O5" s="50" t="str">
        <f t="shared" si="0"/>
        <v>Budget</v>
      </c>
      <c r="P5" s="50" t="str">
        <f t="shared" si="0"/>
        <v>Budget</v>
      </c>
      <c r="Q5" s="50" t="str">
        <f t="shared" si="0"/>
        <v>Budget</v>
      </c>
      <c r="R5" s="50" t="str">
        <f t="shared" si="0"/>
        <v>Budget</v>
      </c>
      <c r="S5" s="50" t="str">
        <f t="shared" si="0"/>
        <v>Budget</v>
      </c>
      <c r="T5" s="50" t="str">
        <f t="shared" si="0"/>
        <v>Budget</v>
      </c>
      <c r="U5" s="50" t="str">
        <f t="shared" si="0"/>
        <v>Budget</v>
      </c>
      <c r="V5" s="50" t="str">
        <f t="shared" si="0"/>
        <v>Budget</v>
      </c>
      <c r="W5" s="50" t="str">
        <f t="shared" si="0"/>
        <v>Budget</v>
      </c>
      <c r="X5" s="50" t="str">
        <f t="shared" si="0"/>
        <v>Budget</v>
      </c>
      <c r="Y5" s="45"/>
      <c r="Z5" s="50" t="s">
        <v>144</v>
      </c>
    </row>
    <row r="6" spans="1:30" ht="13.2" x14ac:dyDescent="0.25">
      <c r="A6" s="52" t="s">
        <v>4</v>
      </c>
      <c r="B6" s="2"/>
      <c r="C6" s="45"/>
      <c r="Y6" s="45"/>
    </row>
    <row r="7" spans="1:30" ht="13.2" x14ac:dyDescent="0.25">
      <c r="A7" s="46"/>
      <c r="B7" s="46" t="s">
        <v>5</v>
      </c>
      <c r="C7" s="45"/>
      <c r="D7" s="108">
        <f>8856554+1697094+1655214.96+1164240</f>
        <v>13373102.960000001</v>
      </c>
      <c r="E7" s="54"/>
      <c r="F7" s="54"/>
      <c r="G7" s="54"/>
      <c r="H7" s="53">
        <f>10646327+1247400</f>
        <v>11893727</v>
      </c>
      <c r="I7" s="108">
        <f>+$H$7/12</f>
        <v>991143.91666666663</v>
      </c>
      <c r="J7" s="108">
        <f t="shared" ref="J7:K7" si="1">+$H$7/12</f>
        <v>991143.91666666663</v>
      </c>
      <c r="K7" s="108">
        <f t="shared" si="1"/>
        <v>991143.91666666663</v>
      </c>
      <c r="L7" s="54">
        <f>SUM(I7:K7)</f>
        <v>2973431.75</v>
      </c>
      <c r="M7" s="108">
        <f t="shared" ref="M7:O7" si="2">+$H$7/12</f>
        <v>991143.91666666663</v>
      </c>
      <c r="N7" s="108">
        <f t="shared" si="2"/>
        <v>991143.91666666663</v>
      </c>
      <c r="O7" s="108">
        <f t="shared" si="2"/>
        <v>991143.91666666663</v>
      </c>
      <c r="P7" s="54">
        <f>SUM(M7:O7)</f>
        <v>2973431.75</v>
      </c>
      <c r="Q7" s="108">
        <f t="shared" ref="Q7:S7" si="3">+$H$7/12</f>
        <v>991143.91666666663</v>
      </c>
      <c r="R7" s="108">
        <f t="shared" si="3"/>
        <v>991143.91666666663</v>
      </c>
      <c r="S7" s="108">
        <f t="shared" si="3"/>
        <v>991143.91666666663</v>
      </c>
      <c r="T7" s="54">
        <f>SUM(Q7:S7)</f>
        <v>2973431.75</v>
      </c>
      <c r="U7" s="108">
        <f t="shared" ref="U7:W7" si="4">+$H$7/12</f>
        <v>991143.91666666663</v>
      </c>
      <c r="V7" s="108">
        <f t="shared" si="4"/>
        <v>991143.91666666663</v>
      </c>
      <c r="W7" s="108">
        <f t="shared" si="4"/>
        <v>991143.91666666663</v>
      </c>
      <c r="X7" s="54">
        <f>SUM(U7:W7)</f>
        <v>2973431.75</v>
      </c>
      <c r="Y7" s="45"/>
      <c r="Z7" s="47">
        <f>SUM(L7,P7,T7,X7)</f>
        <v>11893727</v>
      </c>
      <c r="AA7" s="47"/>
      <c r="AB7" s="47"/>
      <c r="AC7" s="47"/>
      <c r="AD7" s="47"/>
    </row>
    <row r="8" spans="1:30" ht="13.2" x14ac:dyDescent="0.25">
      <c r="A8" s="46"/>
      <c r="B8" s="46" t="s">
        <v>6</v>
      </c>
      <c r="C8" s="45"/>
      <c r="D8" s="108"/>
      <c r="E8" s="54"/>
      <c r="F8" s="54"/>
      <c r="G8" s="54"/>
      <c r="H8" s="108">
        <f>2394034+555100</f>
        <v>2949134</v>
      </c>
      <c r="I8" s="108">
        <f>+$H$8/12</f>
        <v>245761.16666666666</v>
      </c>
      <c r="J8" s="108">
        <f t="shared" ref="J8:K8" si="5">+$H$8/12</f>
        <v>245761.16666666666</v>
      </c>
      <c r="K8" s="108">
        <f t="shared" si="5"/>
        <v>245761.16666666666</v>
      </c>
      <c r="L8" s="54">
        <f t="shared" ref="L8:L13" si="6">SUM(I8:K8)</f>
        <v>737283.5</v>
      </c>
      <c r="M8" s="108">
        <f>+$H$8/12</f>
        <v>245761.16666666666</v>
      </c>
      <c r="N8" s="108">
        <f t="shared" ref="N8:O8" si="7">+$H$8/12</f>
        <v>245761.16666666666</v>
      </c>
      <c r="O8" s="108">
        <f t="shared" si="7"/>
        <v>245761.16666666666</v>
      </c>
      <c r="P8" s="54">
        <f t="shared" ref="P8:P11" si="8">SUM(M8:O8)</f>
        <v>737283.5</v>
      </c>
      <c r="Q8" s="108">
        <f>+$H$8/12</f>
        <v>245761.16666666666</v>
      </c>
      <c r="R8" s="108">
        <f t="shared" ref="R8:S8" si="9">+$H$8/12</f>
        <v>245761.16666666666</v>
      </c>
      <c r="S8" s="108">
        <f t="shared" si="9"/>
        <v>245761.16666666666</v>
      </c>
      <c r="T8" s="54">
        <f t="shared" ref="T8:T11" si="10">SUM(Q8:S8)</f>
        <v>737283.5</v>
      </c>
      <c r="U8" s="108">
        <f>+$H$8/12</f>
        <v>245761.16666666666</v>
      </c>
      <c r="V8" s="108">
        <f t="shared" ref="V8:W8" si="11">+$H$8/12</f>
        <v>245761.16666666666</v>
      </c>
      <c r="W8" s="108">
        <f t="shared" si="11"/>
        <v>245761.16666666666</v>
      </c>
      <c r="X8" s="54">
        <f t="shared" ref="X8:X11" si="12">SUM(U8:W8)</f>
        <v>737283.5</v>
      </c>
      <c r="Y8" s="45"/>
      <c r="Z8" s="47">
        <f t="shared" ref="Z8:Z13" si="13">SUM(L8,P8,T8,X8)</f>
        <v>2949134</v>
      </c>
      <c r="AA8" s="47"/>
      <c r="AB8" s="47"/>
      <c r="AC8" s="47"/>
      <c r="AD8" s="47"/>
    </row>
    <row r="9" spans="1:30" ht="13.2" x14ac:dyDescent="0.25">
      <c r="A9" s="46"/>
      <c r="B9" s="46" t="s">
        <v>7</v>
      </c>
      <c r="C9" s="45"/>
      <c r="D9" s="108">
        <f>2446675+457765</f>
        <v>2904440</v>
      </c>
      <c r="E9" s="54"/>
      <c r="F9" s="54"/>
      <c r="G9" s="54"/>
      <c r="H9" s="53">
        <v>2874080</v>
      </c>
      <c r="I9" s="108">
        <f>+$H$9/12</f>
        <v>239506.66666666666</v>
      </c>
      <c r="J9" s="108">
        <f t="shared" ref="J9:K9" si="14">+$H$9/12</f>
        <v>239506.66666666666</v>
      </c>
      <c r="K9" s="108">
        <f t="shared" si="14"/>
        <v>239506.66666666666</v>
      </c>
      <c r="L9" s="54">
        <f t="shared" si="6"/>
        <v>718520</v>
      </c>
      <c r="M9" s="108">
        <f t="shared" ref="M9:O9" si="15">+$H$9/12</f>
        <v>239506.66666666666</v>
      </c>
      <c r="N9" s="108">
        <f t="shared" si="15"/>
        <v>239506.66666666666</v>
      </c>
      <c r="O9" s="108">
        <f t="shared" si="15"/>
        <v>239506.66666666666</v>
      </c>
      <c r="P9" s="54">
        <f t="shared" si="8"/>
        <v>718520</v>
      </c>
      <c r="Q9" s="108">
        <f t="shared" ref="Q9:S9" si="16">+$H$9/12</f>
        <v>239506.66666666666</v>
      </c>
      <c r="R9" s="108">
        <f t="shared" si="16"/>
        <v>239506.66666666666</v>
      </c>
      <c r="S9" s="108">
        <f t="shared" si="16"/>
        <v>239506.66666666666</v>
      </c>
      <c r="T9" s="54">
        <f t="shared" si="10"/>
        <v>718520</v>
      </c>
      <c r="U9" s="108">
        <f t="shared" ref="U9:W9" si="17">+$H$9/12</f>
        <v>239506.66666666666</v>
      </c>
      <c r="V9" s="108">
        <f t="shared" si="17"/>
        <v>239506.66666666666</v>
      </c>
      <c r="W9" s="108">
        <f t="shared" si="17"/>
        <v>239506.66666666666</v>
      </c>
      <c r="X9" s="54">
        <f t="shared" si="12"/>
        <v>718520</v>
      </c>
      <c r="Y9" s="109"/>
      <c r="Z9" s="47">
        <f t="shared" si="13"/>
        <v>2874080</v>
      </c>
      <c r="AA9" s="47"/>
      <c r="AB9" s="47"/>
      <c r="AC9" s="47"/>
      <c r="AD9" s="47"/>
    </row>
    <row r="10" spans="1:30" ht="13.2" x14ac:dyDescent="0.25">
      <c r="A10" s="46"/>
      <c r="B10" s="46" t="s">
        <v>197</v>
      </c>
      <c r="C10" s="45"/>
      <c r="D10" s="108">
        <v>443123.61</v>
      </c>
      <c r="E10" s="54"/>
      <c r="F10" s="54"/>
      <c r="G10" s="54"/>
      <c r="H10" s="53">
        <v>486400</v>
      </c>
      <c r="I10" s="108">
        <v>40533</v>
      </c>
      <c r="J10" s="53">
        <v>40533</v>
      </c>
      <c r="K10" s="53">
        <v>40533</v>
      </c>
      <c r="L10" s="54">
        <f t="shared" si="6"/>
        <v>121599</v>
      </c>
      <c r="M10" s="53">
        <v>40533</v>
      </c>
      <c r="N10" s="53">
        <v>40533</v>
      </c>
      <c r="O10" s="53">
        <v>40533</v>
      </c>
      <c r="P10" s="54">
        <f t="shared" si="8"/>
        <v>121599</v>
      </c>
      <c r="Q10" s="53">
        <v>40533</v>
      </c>
      <c r="R10" s="53">
        <v>40533</v>
      </c>
      <c r="S10" s="53">
        <v>40533</v>
      </c>
      <c r="T10" s="54">
        <f t="shared" si="10"/>
        <v>121599</v>
      </c>
      <c r="U10" s="53">
        <v>40533</v>
      </c>
      <c r="V10" s="53">
        <v>40533</v>
      </c>
      <c r="W10" s="53">
        <f>40533+4</f>
        <v>40537</v>
      </c>
      <c r="X10" s="54">
        <f t="shared" si="12"/>
        <v>121603</v>
      </c>
      <c r="Y10" s="109"/>
      <c r="Z10" s="47">
        <f t="shared" si="13"/>
        <v>486400</v>
      </c>
      <c r="AA10" s="47"/>
      <c r="AB10" s="47"/>
      <c r="AC10" s="47"/>
      <c r="AD10" s="47"/>
    </row>
    <row r="11" spans="1:30" ht="13.2" x14ac:dyDescent="0.25">
      <c r="A11" s="46"/>
      <c r="B11" s="46" t="s">
        <v>10</v>
      </c>
      <c r="C11" s="45"/>
      <c r="D11" s="108"/>
      <c r="E11" s="54"/>
      <c r="F11" s="54"/>
      <c r="G11" s="54"/>
      <c r="H11" s="108"/>
      <c r="I11" s="108">
        <f>+$H$11/12</f>
        <v>0</v>
      </c>
      <c r="J11" s="108">
        <f t="shared" ref="J11:K11" si="18">+$H$11/12</f>
        <v>0</v>
      </c>
      <c r="K11" s="108">
        <f t="shared" si="18"/>
        <v>0</v>
      </c>
      <c r="L11" s="54">
        <f t="shared" si="6"/>
        <v>0</v>
      </c>
      <c r="M11" s="108">
        <f t="shared" ref="M11:O11" si="19">+$H$11/12</f>
        <v>0</v>
      </c>
      <c r="N11" s="108">
        <f t="shared" si="19"/>
        <v>0</v>
      </c>
      <c r="O11" s="108">
        <f t="shared" si="19"/>
        <v>0</v>
      </c>
      <c r="P11" s="54">
        <f t="shared" si="8"/>
        <v>0</v>
      </c>
      <c r="Q11" s="108">
        <f t="shared" ref="Q11:S11" si="20">+$H$11/12</f>
        <v>0</v>
      </c>
      <c r="R11" s="108">
        <f t="shared" si="20"/>
        <v>0</v>
      </c>
      <c r="S11" s="108">
        <f t="shared" si="20"/>
        <v>0</v>
      </c>
      <c r="T11" s="54">
        <f t="shared" si="10"/>
        <v>0</v>
      </c>
      <c r="U11" s="108">
        <f t="shared" ref="U11:W11" si="21">+$H$11/12</f>
        <v>0</v>
      </c>
      <c r="V11" s="108">
        <f t="shared" si="21"/>
        <v>0</v>
      </c>
      <c r="W11" s="108">
        <f t="shared" si="21"/>
        <v>0</v>
      </c>
      <c r="X11" s="54">
        <f t="shared" si="12"/>
        <v>0</v>
      </c>
      <c r="Y11" s="109"/>
      <c r="Z11" s="47">
        <f t="shared" si="13"/>
        <v>0</v>
      </c>
      <c r="AA11" s="47"/>
      <c r="AB11" s="47"/>
      <c r="AC11" s="47"/>
      <c r="AD11" s="47"/>
    </row>
    <row r="12" spans="1:30" ht="13.2" x14ac:dyDescent="0.25">
      <c r="A12" s="46"/>
      <c r="B12" s="46" t="s">
        <v>9</v>
      </c>
      <c r="C12" s="45"/>
      <c r="D12" s="108">
        <v>1998588.32</v>
      </c>
      <c r="E12" s="54"/>
      <c r="F12" s="54"/>
      <c r="G12" s="54"/>
      <c r="H12" s="53">
        <f>814799+2405850+207800+86400+215684+875000</f>
        <v>4605533</v>
      </c>
      <c r="I12" s="108">
        <f>+$H$12/12</f>
        <v>383794.41666666669</v>
      </c>
      <c r="J12" s="108">
        <f t="shared" ref="J12:K12" si="22">+$H$12/12</f>
        <v>383794.41666666669</v>
      </c>
      <c r="K12" s="108">
        <f t="shared" si="22"/>
        <v>383794.41666666669</v>
      </c>
      <c r="L12" s="54">
        <f t="shared" si="6"/>
        <v>1151383.25</v>
      </c>
      <c r="M12" s="108">
        <f>+$H$12/12</f>
        <v>383794.41666666669</v>
      </c>
      <c r="N12" s="108">
        <f t="shared" ref="N12:O12" si="23">+$H$12/12</f>
        <v>383794.41666666669</v>
      </c>
      <c r="O12" s="108">
        <f t="shared" si="23"/>
        <v>383794.41666666669</v>
      </c>
      <c r="P12" s="54">
        <f t="shared" ref="P12:P13" si="24">SUM(M12:O12)</f>
        <v>1151383.25</v>
      </c>
      <c r="Q12" s="108">
        <f>+$H$12/12</f>
        <v>383794.41666666669</v>
      </c>
      <c r="R12" s="108">
        <f t="shared" ref="R12:S12" si="25">+$H$12/12</f>
        <v>383794.41666666669</v>
      </c>
      <c r="S12" s="108">
        <f t="shared" si="25"/>
        <v>383794.41666666669</v>
      </c>
      <c r="T12" s="54">
        <f t="shared" ref="T12:T13" si="26">SUM(Q12:S12)</f>
        <v>1151383.25</v>
      </c>
      <c r="U12" s="108">
        <f>+$H$12/12</f>
        <v>383794.41666666669</v>
      </c>
      <c r="V12" s="108">
        <f t="shared" ref="V12:W12" si="27">+$H$12/12</f>
        <v>383794.41666666669</v>
      </c>
      <c r="W12" s="108">
        <f t="shared" si="27"/>
        <v>383794.41666666669</v>
      </c>
      <c r="X12" s="54">
        <f t="shared" ref="X12:X13" si="28">SUM(U12:W12)</f>
        <v>1151383.25</v>
      </c>
      <c r="Y12" s="109"/>
      <c r="Z12" s="47">
        <f t="shared" si="13"/>
        <v>4605533</v>
      </c>
      <c r="AA12" s="47"/>
      <c r="AB12" s="47"/>
      <c r="AC12" s="47"/>
      <c r="AD12" s="47"/>
    </row>
    <row r="13" spans="1:30" ht="13.2" x14ac:dyDescent="0.25">
      <c r="A13" s="46"/>
      <c r="B13" s="46" t="s">
        <v>12</v>
      </c>
      <c r="C13" s="45"/>
      <c r="D13" s="108">
        <v>536484</v>
      </c>
      <c r="E13" s="54"/>
      <c r="F13" s="54"/>
      <c r="G13" s="54"/>
      <c r="H13" s="53">
        <v>120000</v>
      </c>
      <c r="I13" s="108"/>
      <c r="J13" s="53"/>
      <c r="K13" s="53">
        <v>12000</v>
      </c>
      <c r="L13" s="54">
        <f t="shared" si="6"/>
        <v>12000</v>
      </c>
      <c r="M13" s="53">
        <v>12000</v>
      </c>
      <c r="N13" s="53">
        <v>12000</v>
      </c>
      <c r="O13" s="53">
        <v>12000</v>
      </c>
      <c r="P13" s="54">
        <f t="shared" si="24"/>
        <v>36000</v>
      </c>
      <c r="Q13" s="53">
        <v>12000</v>
      </c>
      <c r="R13" s="53">
        <v>12000</v>
      </c>
      <c r="S13" s="53">
        <v>12000</v>
      </c>
      <c r="T13" s="54">
        <f t="shared" si="26"/>
        <v>36000</v>
      </c>
      <c r="U13" s="53">
        <v>12000</v>
      </c>
      <c r="V13" s="53">
        <v>12000</v>
      </c>
      <c r="W13" s="53">
        <v>12000</v>
      </c>
      <c r="X13" s="54">
        <f t="shared" si="28"/>
        <v>36000</v>
      </c>
      <c r="Y13" s="109"/>
      <c r="Z13" s="47">
        <f t="shared" si="13"/>
        <v>120000</v>
      </c>
      <c r="AA13" s="47"/>
      <c r="AB13" s="47"/>
      <c r="AC13" s="47"/>
      <c r="AD13" s="47"/>
    </row>
    <row r="14" spans="1:30" ht="13.2" x14ac:dyDescent="0.25">
      <c r="A14" s="46"/>
      <c r="B14" s="55" t="s">
        <v>13</v>
      </c>
      <c r="C14" s="45"/>
      <c r="D14" s="79">
        <f>SUM(D7:D13)</f>
        <v>19255738.890000001</v>
      </c>
      <c r="E14" s="106"/>
      <c r="F14" s="106"/>
      <c r="G14" s="106"/>
      <c r="H14" s="111">
        <f>SUM(H7:H13)</f>
        <v>22928874</v>
      </c>
      <c r="I14" s="111">
        <f>SUM(I7:I13)</f>
        <v>1900739.1666666667</v>
      </c>
      <c r="J14" s="111">
        <f>SUM(J7:J13)</f>
        <v>1900739.1666666667</v>
      </c>
      <c r="K14" s="111">
        <f>SUM(K7:K13)</f>
        <v>1912739.1666666667</v>
      </c>
      <c r="L14" s="111">
        <f>SUM(I14:K14)</f>
        <v>5714217.5</v>
      </c>
      <c r="M14" s="111">
        <f>SUM(M7:M13)</f>
        <v>1912739.1666666667</v>
      </c>
      <c r="N14" s="111">
        <f>SUM(N7:N13)</f>
        <v>1912739.1666666667</v>
      </c>
      <c r="O14" s="111">
        <f>SUM(O7:O13)</f>
        <v>1912739.1666666667</v>
      </c>
      <c r="P14" s="111">
        <f>SUM(M14:O14)</f>
        <v>5738217.5</v>
      </c>
      <c r="Q14" s="111">
        <f>SUM(Q7:Q13)</f>
        <v>1912739.1666666667</v>
      </c>
      <c r="R14" s="111">
        <f>SUM(R7:R13)</f>
        <v>1912739.1666666667</v>
      </c>
      <c r="S14" s="111">
        <f>SUM(S7:S13)</f>
        <v>1912739.1666666667</v>
      </c>
      <c r="T14" s="111">
        <f t="shared" ref="T14" si="29">SUM(Q14:S14)</f>
        <v>5738217.5</v>
      </c>
      <c r="U14" s="111">
        <f>SUM(U7:U13)</f>
        <v>1912739.1666666667</v>
      </c>
      <c r="V14" s="111">
        <f>SUM(V7:V13)</f>
        <v>1912739.1666666667</v>
      </c>
      <c r="W14" s="111">
        <f>SUM(W7:W13)</f>
        <v>1912743.1666666667</v>
      </c>
      <c r="X14" s="111">
        <f t="shared" ref="X14" si="30">SUM(U14:W14)</f>
        <v>5738221.5</v>
      </c>
      <c r="Y14" s="109"/>
      <c r="Z14" s="110">
        <f>SUM(Z7:Z13)</f>
        <v>22928874</v>
      </c>
      <c r="AA14" s="47"/>
      <c r="AB14" s="47"/>
      <c r="AC14" s="47"/>
      <c r="AD14" s="47"/>
    </row>
    <row r="15" spans="1:30" ht="13.2" x14ac:dyDescent="0.25">
      <c r="A15" s="46"/>
      <c r="B15" s="58"/>
      <c r="C15" s="45"/>
      <c r="D15" s="59"/>
      <c r="E15" s="60"/>
      <c r="F15" s="60"/>
      <c r="G15" s="60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09"/>
      <c r="Z15" s="110"/>
      <c r="AA15" s="47"/>
      <c r="AB15" s="47"/>
      <c r="AC15" s="47"/>
      <c r="AD15" s="47"/>
    </row>
    <row r="16" spans="1:30" ht="13.2" x14ac:dyDescent="0.25">
      <c r="A16" s="61" t="s">
        <v>14</v>
      </c>
      <c r="B16" s="2"/>
      <c r="C16" s="45"/>
      <c r="D16" s="62"/>
      <c r="E16" s="62"/>
      <c r="F16" s="62"/>
      <c r="G16" s="62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109"/>
      <c r="Z16" s="110"/>
      <c r="AA16" s="47"/>
      <c r="AB16" s="47"/>
      <c r="AC16" s="47"/>
      <c r="AD16" s="47"/>
    </row>
    <row r="17" spans="1:30" ht="13.8" x14ac:dyDescent="0.3">
      <c r="A17" s="63" t="s">
        <v>15</v>
      </c>
      <c r="B17" s="2"/>
      <c r="C17" s="45"/>
      <c r="D17" s="2"/>
      <c r="F17" s="2" t="s">
        <v>143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109"/>
      <c r="Z17" s="110"/>
      <c r="AA17" s="47"/>
      <c r="AB17" s="47"/>
      <c r="AC17" s="47"/>
      <c r="AD17" s="47"/>
    </row>
    <row r="18" spans="1:30" ht="13.2" x14ac:dyDescent="0.25">
      <c r="A18" s="46"/>
      <c r="B18" s="2" t="s">
        <v>199</v>
      </c>
      <c r="C18" s="45"/>
      <c r="D18" s="107">
        <f>10209562.86*12%</f>
        <v>1225147.5432</v>
      </c>
      <c r="E18" s="65"/>
      <c r="F18" s="64">
        <v>19.5</v>
      </c>
      <c r="G18" s="65"/>
      <c r="H18" s="64">
        <f>[4]Sheet1!$G$29-(13000+63500+92000)</f>
        <v>1839550</v>
      </c>
      <c r="I18" s="107">
        <f>H18/12</f>
        <v>153295.83333333334</v>
      </c>
      <c r="J18" s="64">
        <v>153296</v>
      </c>
      <c r="K18" s="64">
        <v>153296</v>
      </c>
      <c r="L18" s="66">
        <f t="shared" ref="L18:L28" si="31">SUM(I18:K18)</f>
        <v>459887.83333333337</v>
      </c>
      <c r="M18" s="64">
        <v>153296</v>
      </c>
      <c r="N18" s="64">
        <v>153296</v>
      </c>
      <c r="O18" s="64">
        <v>153296</v>
      </c>
      <c r="P18" s="66">
        <f>SUM(M18:O18)</f>
        <v>459888</v>
      </c>
      <c r="Q18" s="64">
        <v>153296</v>
      </c>
      <c r="R18" s="64">
        <v>153296</v>
      </c>
      <c r="S18" s="64">
        <v>153296</v>
      </c>
      <c r="T18" s="66">
        <f t="shared" ref="T18:T33" si="32">SUM(Q18:S18)</f>
        <v>459888</v>
      </c>
      <c r="U18" s="64">
        <v>153296</v>
      </c>
      <c r="V18" s="64">
        <v>153296</v>
      </c>
      <c r="W18" s="64">
        <v>153294</v>
      </c>
      <c r="X18" s="66">
        <f t="shared" ref="X18:X33" si="33">SUM(U18:W18)</f>
        <v>459886</v>
      </c>
      <c r="Y18" s="109"/>
      <c r="Z18" s="110">
        <f t="shared" ref="Z18:Z33" si="34">SUM(L18,P18,T18,X18)</f>
        <v>1839549.8333333335</v>
      </c>
      <c r="AA18" s="47"/>
      <c r="AB18" s="47"/>
      <c r="AC18" s="47"/>
      <c r="AD18" s="47"/>
    </row>
    <row r="19" spans="1:30" ht="13.2" x14ac:dyDescent="0.25">
      <c r="A19" s="46"/>
      <c r="B19" s="2" t="s">
        <v>17</v>
      </c>
      <c r="C19" s="45"/>
      <c r="D19" s="107">
        <f>10209562.86*0.37</f>
        <v>3777538.2581999996</v>
      </c>
      <c r="E19" s="65"/>
      <c r="F19" s="64">
        <f>23+14+33</f>
        <v>70</v>
      </c>
      <c r="G19" s="65"/>
      <c r="H19" s="64">
        <f>([5]Sheet1!$G$52+[6]Sheet1!$G$30+[7]Sheet1!$G$54)</f>
        <v>3866521.5000000014</v>
      </c>
      <c r="I19" s="107">
        <f>(H19/12)-45000</f>
        <v>277210.12500000012</v>
      </c>
      <c r="J19" s="64">
        <f>322210-25000</f>
        <v>297210</v>
      </c>
      <c r="K19" s="64">
        <v>322210</v>
      </c>
      <c r="L19" s="66">
        <f t="shared" si="31"/>
        <v>896630.12500000012</v>
      </c>
      <c r="M19" s="107">
        <v>322210</v>
      </c>
      <c r="N19" s="64">
        <v>322210</v>
      </c>
      <c r="O19" s="64">
        <v>332210</v>
      </c>
      <c r="P19" s="66">
        <f t="shared" ref="P19:P33" si="35">SUM(M19:O19)</f>
        <v>976630</v>
      </c>
      <c r="Q19" s="107">
        <v>332210</v>
      </c>
      <c r="R19" s="64">
        <f>322210+10000</f>
        <v>332210</v>
      </c>
      <c r="S19" s="64">
        <f>322210+10000</f>
        <v>332210</v>
      </c>
      <c r="T19" s="66">
        <f t="shared" si="32"/>
        <v>996630</v>
      </c>
      <c r="U19" s="107">
        <f>322210+10000</f>
        <v>332210</v>
      </c>
      <c r="V19" s="64">
        <f>322210+10000</f>
        <v>332210</v>
      </c>
      <c r="W19" s="64">
        <f>322212+10000</f>
        <v>332212</v>
      </c>
      <c r="X19" s="66">
        <f t="shared" si="33"/>
        <v>996632</v>
      </c>
      <c r="Y19" s="109"/>
      <c r="Z19" s="110">
        <f t="shared" si="34"/>
        <v>3866522.125</v>
      </c>
      <c r="AA19" s="47"/>
      <c r="AB19" s="47"/>
      <c r="AC19" s="47"/>
      <c r="AD19" s="47"/>
    </row>
    <row r="20" spans="1:30" ht="13.2" x14ac:dyDescent="0.25">
      <c r="A20" s="46"/>
      <c r="B20" s="2" t="s">
        <v>18</v>
      </c>
      <c r="C20" s="45"/>
      <c r="D20" s="107">
        <f>10209562.86*0.1</f>
        <v>1020956.286</v>
      </c>
      <c r="E20" s="65"/>
      <c r="F20" s="64">
        <v>31</v>
      </c>
      <c r="G20" s="65"/>
      <c r="H20" s="64">
        <f>[8]Sheet1!$G$33</f>
        <v>1739130.04</v>
      </c>
      <c r="I20" s="107">
        <f>144927-15000</f>
        <v>129927</v>
      </c>
      <c r="J20" s="64">
        <f>144927-7500</f>
        <v>137427</v>
      </c>
      <c r="K20" s="64">
        <v>144928</v>
      </c>
      <c r="L20" s="66">
        <f t="shared" si="31"/>
        <v>412282</v>
      </c>
      <c r="M20" s="107">
        <v>146927</v>
      </c>
      <c r="N20" s="107">
        <v>146927</v>
      </c>
      <c r="O20" s="107">
        <v>146927</v>
      </c>
      <c r="P20" s="66">
        <f t="shared" si="35"/>
        <v>440781</v>
      </c>
      <c r="Q20" s="107">
        <v>146927</v>
      </c>
      <c r="R20" s="107">
        <v>147927</v>
      </c>
      <c r="S20" s="107">
        <v>147477</v>
      </c>
      <c r="T20" s="66">
        <f t="shared" si="32"/>
        <v>442331</v>
      </c>
      <c r="U20" s="107">
        <v>147927</v>
      </c>
      <c r="V20" s="107">
        <v>147927</v>
      </c>
      <c r="W20" s="107">
        <v>147882</v>
      </c>
      <c r="X20" s="66">
        <f t="shared" si="33"/>
        <v>443736</v>
      </c>
      <c r="Y20" s="109"/>
      <c r="Z20" s="110">
        <f t="shared" si="34"/>
        <v>1739130</v>
      </c>
      <c r="AA20" s="47"/>
      <c r="AB20" s="47"/>
      <c r="AC20" s="47"/>
      <c r="AD20" s="47"/>
    </row>
    <row r="21" spans="1:30" ht="13.2" x14ac:dyDescent="0.25">
      <c r="A21" s="46"/>
      <c r="B21" s="2" t="s">
        <v>19</v>
      </c>
      <c r="C21" s="45"/>
      <c r="D21" s="107">
        <f>10209562.86*0.02</f>
        <v>204191.25719999999</v>
      </c>
      <c r="E21" s="65"/>
      <c r="F21" s="64">
        <v>10</v>
      </c>
      <c r="G21" s="65"/>
      <c r="H21" s="64">
        <f>10*35*20*5</f>
        <v>35000</v>
      </c>
      <c r="I21" s="107">
        <v>14000</v>
      </c>
      <c r="J21" s="64">
        <v>14000</v>
      </c>
      <c r="K21" s="64"/>
      <c r="L21" s="66">
        <f t="shared" si="31"/>
        <v>28000</v>
      </c>
      <c r="M21" s="64"/>
      <c r="N21" s="64"/>
      <c r="O21" s="64"/>
      <c r="P21" s="66">
        <f t="shared" si="35"/>
        <v>0</v>
      </c>
      <c r="Q21" s="64"/>
      <c r="R21" s="64"/>
      <c r="S21" s="64"/>
      <c r="T21" s="66">
        <f t="shared" si="32"/>
        <v>0</v>
      </c>
      <c r="U21" s="64"/>
      <c r="V21" s="64"/>
      <c r="W21" s="64">
        <v>7000</v>
      </c>
      <c r="X21" s="66">
        <f t="shared" si="33"/>
        <v>7000</v>
      </c>
      <c r="Y21" s="109"/>
      <c r="Z21" s="110">
        <f t="shared" si="34"/>
        <v>35000</v>
      </c>
      <c r="AA21" s="47"/>
      <c r="AB21" s="47"/>
      <c r="AC21" s="47"/>
      <c r="AD21" s="47"/>
    </row>
    <row r="22" spans="1:30" ht="13.2" x14ac:dyDescent="0.25">
      <c r="A22" s="46"/>
      <c r="B22" s="2" t="s">
        <v>20</v>
      </c>
      <c r="C22" s="45"/>
      <c r="D22" s="107">
        <f>10209562.86*0.18</f>
        <v>1837721.3147999998</v>
      </c>
      <c r="E22" s="65"/>
      <c r="F22" s="64">
        <f>6+24</f>
        <v>30</v>
      </c>
      <c r="G22" s="65"/>
      <c r="H22" s="64">
        <f>[6]Sheet1!$G$28+[7]Sheet1!$G$53</f>
        <v>1066755.04</v>
      </c>
      <c r="I22" s="107">
        <v>88896</v>
      </c>
      <c r="J22" s="64">
        <v>88896</v>
      </c>
      <c r="K22" s="64">
        <v>88896</v>
      </c>
      <c r="L22" s="66">
        <f t="shared" si="31"/>
        <v>266688</v>
      </c>
      <c r="M22" s="107">
        <v>88896</v>
      </c>
      <c r="N22" s="64">
        <v>88896</v>
      </c>
      <c r="O22" s="64">
        <v>88896</v>
      </c>
      <c r="P22" s="66">
        <f t="shared" si="35"/>
        <v>266688</v>
      </c>
      <c r="Q22" s="107">
        <v>88896</v>
      </c>
      <c r="R22" s="64">
        <v>88896</v>
      </c>
      <c r="S22" s="64">
        <v>88896</v>
      </c>
      <c r="T22" s="66">
        <f t="shared" si="32"/>
        <v>266688</v>
      </c>
      <c r="U22" s="107">
        <v>88896</v>
      </c>
      <c r="V22" s="64">
        <v>88896</v>
      </c>
      <c r="W22" s="64">
        <v>88899</v>
      </c>
      <c r="X22" s="66">
        <f t="shared" si="33"/>
        <v>266691</v>
      </c>
      <c r="Y22" s="109"/>
      <c r="Z22" s="110">
        <f t="shared" si="34"/>
        <v>1066755</v>
      </c>
      <c r="AA22" s="47"/>
      <c r="AB22" s="47"/>
      <c r="AC22" s="47"/>
      <c r="AD22" s="47"/>
    </row>
    <row r="23" spans="1:30" ht="13.2" x14ac:dyDescent="0.25">
      <c r="A23" s="46"/>
      <c r="B23" s="2" t="s">
        <v>21</v>
      </c>
      <c r="C23" s="45"/>
      <c r="D23" s="107">
        <f>10209562.86*0.02</f>
        <v>204191.25719999999</v>
      </c>
      <c r="E23" s="65"/>
      <c r="F23" s="64">
        <f>1+51</f>
        <v>52</v>
      </c>
      <c r="G23" s="65"/>
      <c r="H23" s="64">
        <f>[4]Sheet1!$G$3+(50*25*44*18)</f>
        <v>1053500</v>
      </c>
      <c r="I23" s="107">
        <v>87791</v>
      </c>
      <c r="J23" s="64">
        <v>87792</v>
      </c>
      <c r="K23" s="64">
        <v>87792</v>
      </c>
      <c r="L23" s="66">
        <f t="shared" si="31"/>
        <v>263375</v>
      </c>
      <c r="M23" s="107">
        <v>87791</v>
      </c>
      <c r="N23" s="64">
        <v>87792</v>
      </c>
      <c r="O23" s="64">
        <v>87792</v>
      </c>
      <c r="P23" s="66">
        <f t="shared" si="35"/>
        <v>263375</v>
      </c>
      <c r="Q23" s="107">
        <v>87791</v>
      </c>
      <c r="R23" s="64">
        <v>87792</v>
      </c>
      <c r="S23" s="64">
        <v>87792</v>
      </c>
      <c r="T23" s="66">
        <f t="shared" si="32"/>
        <v>263375</v>
      </c>
      <c r="U23" s="107">
        <v>87791</v>
      </c>
      <c r="V23" s="64">
        <v>87792</v>
      </c>
      <c r="W23" s="64">
        <v>87792</v>
      </c>
      <c r="X23" s="66">
        <f t="shared" si="33"/>
        <v>263375</v>
      </c>
      <c r="Y23" s="109"/>
      <c r="Z23" s="110">
        <f t="shared" si="34"/>
        <v>1053500</v>
      </c>
      <c r="AA23" s="47"/>
      <c r="AB23" s="47"/>
      <c r="AC23" s="47"/>
      <c r="AD23" s="47"/>
    </row>
    <row r="24" spans="1:30" ht="13.2" x14ac:dyDescent="0.25">
      <c r="A24" s="46"/>
      <c r="B24" s="2" t="s">
        <v>22</v>
      </c>
      <c r="C24" s="45"/>
      <c r="D24" s="107"/>
      <c r="E24" s="65"/>
      <c r="F24" s="64">
        <f>12+1+5</f>
        <v>18</v>
      </c>
      <c r="G24" s="65"/>
      <c r="H24" s="64">
        <f>[5]Sheet1!$G$50+[6]Sheet1!$G$26+[9]Sheet1!$F$7</f>
        <v>1048399.48</v>
      </c>
      <c r="I24" s="107">
        <v>87365</v>
      </c>
      <c r="J24" s="64">
        <v>87367</v>
      </c>
      <c r="K24" s="64">
        <v>87367</v>
      </c>
      <c r="L24" s="66">
        <f t="shared" si="31"/>
        <v>262099</v>
      </c>
      <c r="M24" s="107">
        <v>87365</v>
      </c>
      <c r="N24" s="64">
        <v>87367</v>
      </c>
      <c r="O24" s="64">
        <v>87367</v>
      </c>
      <c r="P24" s="66">
        <f t="shared" si="35"/>
        <v>262099</v>
      </c>
      <c r="Q24" s="107">
        <v>87365</v>
      </c>
      <c r="R24" s="64">
        <v>87367</v>
      </c>
      <c r="S24" s="64">
        <v>87367</v>
      </c>
      <c r="T24" s="66">
        <f t="shared" si="32"/>
        <v>262099</v>
      </c>
      <c r="U24" s="107">
        <v>87365</v>
      </c>
      <c r="V24" s="64">
        <v>87367</v>
      </c>
      <c r="W24" s="64">
        <v>87370</v>
      </c>
      <c r="X24" s="66">
        <f t="shared" si="33"/>
        <v>262102</v>
      </c>
      <c r="Y24" s="109"/>
      <c r="Z24" s="110">
        <f t="shared" si="34"/>
        <v>1048399</v>
      </c>
      <c r="AA24" s="47"/>
      <c r="AB24" s="47"/>
      <c r="AC24" s="47"/>
      <c r="AD24" s="47"/>
    </row>
    <row r="25" spans="1:30" ht="13.2" x14ac:dyDescent="0.25">
      <c r="A25" s="46"/>
      <c r="B25" s="2" t="s">
        <v>23</v>
      </c>
      <c r="C25" s="45"/>
      <c r="D25" s="107">
        <f>10209562.86*0.14</f>
        <v>1429338.8004000001</v>
      </c>
      <c r="E25" s="65"/>
      <c r="F25" s="64">
        <v>2.5</v>
      </c>
      <c r="G25" s="65"/>
      <c r="H25" s="64">
        <f>113000+63500+92000</f>
        <v>268500</v>
      </c>
      <c r="I25" s="107">
        <v>22375</v>
      </c>
      <c r="J25" s="64">
        <v>22375</v>
      </c>
      <c r="K25" s="64">
        <v>22375</v>
      </c>
      <c r="L25" s="66">
        <f t="shared" si="31"/>
        <v>67125</v>
      </c>
      <c r="M25" s="107">
        <v>22375</v>
      </c>
      <c r="N25" s="64">
        <v>22375</v>
      </c>
      <c r="O25" s="64">
        <v>22375</v>
      </c>
      <c r="P25" s="66">
        <f t="shared" si="35"/>
        <v>67125</v>
      </c>
      <c r="Q25" s="107">
        <v>22375</v>
      </c>
      <c r="R25" s="64">
        <v>22375</v>
      </c>
      <c r="S25" s="64">
        <v>22375</v>
      </c>
      <c r="T25" s="66">
        <f t="shared" si="32"/>
        <v>67125</v>
      </c>
      <c r="U25" s="107">
        <v>22375</v>
      </c>
      <c r="V25" s="64">
        <v>22375</v>
      </c>
      <c r="W25" s="64">
        <v>22375</v>
      </c>
      <c r="X25" s="66">
        <f t="shared" si="33"/>
        <v>67125</v>
      </c>
      <c r="Y25" s="109"/>
      <c r="Z25" s="110">
        <f t="shared" si="34"/>
        <v>268500</v>
      </c>
      <c r="AA25" s="47"/>
      <c r="AB25" s="47"/>
      <c r="AC25" s="47"/>
      <c r="AD25" s="47"/>
    </row>
    <row r="26" spans="1:30" ht="13.2" x14ac:dyDescent="0.25">
      <c r="A26" s="46"/>
      <c r="B26" s="2" t="s">
        <v>24</v>
      </c>
      <c r="C26" s="45"/>
      <c r="D26" s="107"/>
      <c r="E26" s="65"/>
      <c r="F26" s="64">
        <f>4+1+1+1</f>
        <v>7</v>
      </c>
      <c r="G26" s="65"/>
      <c r="H26" s="64">
        <f>[5]Sheet1!$G$51+[6]Sheet1!$G$27+[4]Sheet1!$G$14+[4]Sheet1!$G$24</f>
        <v>267751.48</v>
      </c>
      <c r="I26" s="107">
        <v>22313</v>
      </c>
      <c r="J26" s="64">
        <v>22312</v>
      </c>
      <c r="K26" s="64">
        <v>22312</v>
      </c>
      <c r="L26" s="66">
        <f t="shared" si="31"/>
        <v>66937</v>
      </c>
      <c r="M26" s="107">
        <v>22313</v>
      </c>
      <c r="N26" s="64">
        <v>22312</v>
      </c>
      <c r="O26" s="64">
        <v>22312</v>
      </c>
      <c r="P26" s="66">
        <f t="shared" si="35"/>
        <v>66937</v>
      </c>
      <c r="Q26" s="107">
        <v>22313</v>
      </c>
      <c r="R26" s="64">
        <v>22312</v>
      </c>
      <c r="S26" s="64">
        <v>22312</v>
      </c>
      <c r="T26" s="66">
        <f t="shared" si="32"/>
        <v>66937</v>
      </c>
      <c r="U26" s="107">
        <v>22313</v>
      </c>
      <c r="V26" s="64">
        <v>22312</v>
      </c>
      <c r="W26" s="64">
        <v>22315</v>
      </c>
      <c r="X26" s="66">
        <f t="shared" si="33"/>
        <v>66940</v>
      </c>
      <c r="Y26" s="109"/>
      <c r="Z26" s="110">
        <f t="shared" si="34"/>
        <v>267751</v>
      </c>
      <c r="AA26" s="47"/>
      <c r="AB26" s="47"/>
      <c r="AC26" s="47"/>
      <c r="AD26" s="47"/>
    </row>
    <row r="27" spans="1:30" ht="13.2" x14ac:dyDescent="0.25">
      <c r="A27" s="46"/>
      <c r="B27" s="2" t="s">
        <v>25</v>
      </c>
      <c r="C27" s="45"/>
      <c r="D27" s="107">
        <f>10209562.86*0.02</f>
        <v>204191.25719999999</v>
      </c>
      <c r="E27" s="65"/>
      <c r="F27" s="64">
        <v>4</v>
      </c>
      <c r="G27" s="65"/>
      <c r="H27" s="64">
        <v>134140</v>
      </c>
      <c r="I27" s="107">
        <v>11178</v>
      </c>
      <c r="J27" s="64">
        <v>11178</v>
      </c>
      <c r="K27" s="64">
        <v>11178</v>
      </c>
      <c r="L27" s="66">
        <f t="shared" si="31"/>
        <v>33534</v>
      </c>
      <c r="M27" s="107">
        <v>11178</v>
      </c>
      <c r="N27" s="64">
        <v>11178</v>
      </c>
      <c r="O27" s="64">
        <v>11178</v>
      </c>
      <c r="P27" s="66">
        <f t="shared" si="35"/>
        <v>33534</v>
      </c>
      <c r="Q27" s="107">
        <v>11178</v>
      </c>
      <c r="R27" s="64">
        <v>11178</v>
      </c>
      <c r="S27" s="64">
        <v>11178</v>
      </c>
      <c r="T27" s="66">
        <f t="shared" si="32"/>
        <v>33534</v>
      </c>
      <c r="U27" s="107">
        <v>11178</v>
      </c>
      <c r="V27" s="64">
        <v>11178</v>
      </c>
      <c r="W27" s="64">
        <v>11182</v>
      </c>
      <c r="X27" s="66">
        <f t="shared" si="33"/>
        <v>33538</v>
      </c>
      <c r="Y27" s="109"/>
      <c r="Z27" s="110">
        <f t="shared" si="34"/>
        <v>134140</v>
      </c>
      <c r="AA27" s="47"/>
      <c r="AB27" s="47"/>
      <c r="AC27" s="47"/>
      <c r="AD27" s="47"/>
    </row>
    <row r="28" spans="1:30" ht="13.2" x14ac:dyDescent="0.25">
      <c r="A28" s="46"/>
      <c r="B28" s="2" t="s">
        <v>201</v>
      </c>
      <c r="C28" s="45"/>
      <c r="D28" s="107"/>
      <c r="E28" s="65"/>
      <c r="F28" s="107">
        <v>8</v>
      </c>
      <c r="G28" s="65"/>
      <c r="H28" s="107">
        <v>305940</v>
      </c>
      <c r="I28" s="107">
        <v>25495</v>
      </c>
      <c r="J28" s="107">
        <v>25495</v>
      </c>
      <c r="K28" s="107">
        <v>25495</v>
      </c>
      <c r="L28" s="66">
        <f t="shared" si="31"/>
        <v>76485</v>
      </c>
      <c r="M28" s="107">
        <v>25495</v>
      </c>
      <c r="N28" s="107">
        <v>25495</v>
      </c>
      <c r="O28" s="107">
        <v>25495</v>
      </c>
      <c r="P28" s="66">
        <f t="shared" si="35"/>
        <v>76485</v>
      </c>
      <c r="Q28" s="107">
        <v>25495</v>
      </c>
      <c r="R28" s="107">
        <v>25495</v>
      </c>
      <c r="S28" s="107">
        <v>25495</v>
      </c>
      <c r="T28" s="66">
        <f t="shared" si="32"/>
        <v>76485</v>
      </c>
      <c r="U28" s="107">
        <v>25495</v>
      </c>
      <c r="V28" s="107">
        <v>25495</v>
      </c>
      <c r="W28" s="107">
        <v>25495</v>
      </c>
      <c r="X28" s="66">
        <f t="shared" ref="X28" si="36">SUM(U28:W28)</f>
        <v>76485</v>
      </c>
      <c r="Y28" s="109"/>
      <c r="Z28" s="110">
        <f t="shared" ref="Z28" si="37">SUM(L28,P28,T28,X28)</f>
        <v>305940</v>
      </c>
      <c r="AA28" s="47"/>
      <c r="AB28" s="47"/>
      <c r="AC28" s="47"/>
      <c r="AD28" s="47"/>
    </row>
    <row r="29" spans="1:30" ht="13.2" x14ac:dyDescent="0.25">
      <c r="A29" s="46"/>
      <c r="B29" s="2" t="s">
        <v>26</v>
      </c>
      <c r="C29" s="45"/>
      <c r="D29" s="107">
        <f>10209562.86*0.03</f>
        <v>306286.88579999999</v>
      </c>
      <c r="E29" s="65"/>
      <c r="F29" s="64">
        <v>6</v>
      </c>
      <c r="G29" s="65"/>
      <c r="H29" s="64">
        <f>[6]Sheet1!$G$29+[10]Sheet1!$G$12</f>
        <v>218530</v>
      </c>
      <c r="I29" s="107">
        <v>18211</v>
      </c>
      <c r="J29" s="64">
        <v>18210</v>
      </c>
      <c r="K29" s="64">
        <v>18210</v>
      </c>
      <c r="L29" s="66">
        <f t="shared" ref="L29:L30" si="38">SUM(I29:K29)</f>
        <v>54631</v>
      </c>
      <c r="M29" s="107">
        <v>18211</v>
      </c>
      <c r="N29" s="64">
        <v>18210</v>
      </c>
      <c r="O29" s="64">
        <v>18210</v>
      </c>
      <c r="P29" s="66">
        <f t="shared" si="35"/>
        <v>54631</v>
      </c>
      <c r="Q29" s="107">
        <v>18211</v>
      </c>
      <c r="R29" s="64">
        <v>18210</v>
      </c>
      <c r="S29" s="64">
        <v>18210</v>
      </c>
      <c r="T29" s="66">
        <f t="shared" si="32"/>
        <v>54631</v>
      </c>
      <c r="U29" s="107">
        <v>18211</v>
      </c>
      <c r="V29" s="64">
        <v>18210</v>
      </c>
      <c r="W29" s="64">
        <v>18216</v>
      </c>
      <c r="X29" s="66">
        <f t="shared" si="33"/>
        <v>54637</v>
      </c>
      <c r="Y29" s="109"/>
      <c r="Z29" s="110">
        <f t="shared" si="34"/>
        <v>218530</v>
      </c>
      <c r="AA29" s="47"/>
      <c r="AB29" s="47"/>
      <c r="AC29" s="47"/>
      <c r="AD29" s="47"/>
    </row>
    <row r="30" spans="1:30" ht="13.2" x14ac:dyDescent="0.25">
      <c r="A30" s="46"/>
      <c r="B30" s="2" t="s">
        <v>27</v>
      </c>
      <c r="C30" s="45"/>
      <c r="D30" s="107">
        <f>1650+56400+1033333.33+967157.09+26400</f>
        <v>2084940.42</v>
      </c>
      <c r="E30" s="65"/>
      <c r="F30" s="64"/>
      <c r="G30" s="65"/>
      <c r="H30" s="64">
        <f>SUM((H18+H19+H20+H22+H24+H26+H27+H29)*0.22)+((H21+H23)*0.065)</f>
        <v>2310523.5588000007</v>
      </c>
      <c r="I30" s="107">
        <v>192544</v>
      </c>
      <c r="J30" s="64">
        <v>192543</v>
      </c>
      <c r="K30" s="64">
        <v>192543</v>
      </c>
      <c r="L30" s="66">
        <f t="shared" si="38"/>
        <v>577630</v>
      </c>
      <c r="M30" s="107">
        <v>192544</v>
      </c>
      <c r="N30" s="64">
        <v>192543</v>
      </c>
      <c r="O30" s="64">
        <v>192543</v>
      </c>
      <c r="P30" s="66">
        <f t="shared" si="35"/>
        <v>577630</v>
      </c>
      <c r="Q30" s="107">
        <v>192544</v>
      </c>
      <c r="R30" s="64">
        <v>192543</v>
      </c>
      <c r="S30" s="64">
        <v>192543</v>
      </c>
      <c r="T30" s="66">
        <f t="shared" si="32"/>
        <v>577630</v>
      </c>
      <c r="U30" s="107">
        <v>192544</v>
      </c>
      <c r="V30" s="64">
        <v>192543</v>
      </c>
      <c r="W30" s="64">
        <v>192547</v>
      </c>
      <c r="X30" s="66">
        <f t="shared" si="33"/>
        <v>577634</v>
      </c>
      <c r="Y30" s="109"/>
      <c r="Z30" s="110">
        <f t="shared" si="34"/>
        <v>2310524</v>
      </c>
      <c r="AA30" s="47"/>
      <c r="AB30" s="47"/>
      <c r="AC30" s="47"/>
      <c r="AD30" s="47"/>
    </row>
    <row r="31" spans="1:30" ht="13.2" x14ac:dyDescent="0.25">
      <c r="A31" s="46"/>
      <c r="B31" s="2" t="s">
        <v>28</v>
      </c>
      <c r="C31" s="45"/>
      <c r="D31" s="107"/>
      <c r="E31" s="65"/>
      <c r="F31" s="64">
        <v>3</v>
      </c>
      <c r="G31" s="65"/>
      <c r="H31" s="64">
        <v>85000</v>
      </c>
      <c r="I31" s="107"/>
      <c r="J31" s="64"/>
      <c r="K31" s="64"/>
      <c r="L31" s="66">
        <f>SUM(I31:K31)</f>
        <v>0</v>
      </c>
      <c r="M31" s="64">
        <v>10000</v>
      </c>
      <c r="N31" s="64">
        <v>8500</v>
      </c>
      <c r="O31" s="64">
        <v>3000</v>
      </c>
      <c r="P31" s="66">
        <f t="shared" si="35"/>
        <v>21500</v>
      </c>
      <c r="Q31" s="64">
        <v>12000</v>
      </c>
      <c r="R31" s="64">
        <v>14000</v>
      </c>
      <c r="S31" s="64">
        <v>14000</v>
      </c>
      <c r="T31" s="66">
        <f t="shared" si="32"/>
        <v>40000</v>
      </c>
      <c r="U31" s="64">
        <v>14000</v>
      </c>
      <c r="V31" s="64">
        <v>9500</v>
      </c>
      <c r="W31" s="64"/>
      <c r="X31" s="66">
        <f t="shared" si="33"/>
        <v>23500</v>
      </c>
      <c r="Y31" s="109"/>
      <c r="Z31" s="110">
        <f t="shared" si="34"/>
        <v>85000</v>
      </c>
      <c r="AA31" s="47"/>
      <c r="AB31" s="47"/>
      <c r="AC31" s="47"/>
      <c r="AD31" s="47"/>
    </row>
    <row r="32" spans="1:30" ht="13.2" x14ac:dyDescent="0.25">
      <c r="A32" s="46"/>
      <c r="B32" s="2" t="s">
        <v>29</v>
      </c>
      <c r="C32" s="45"/>
      <c r="D32" s="107">
        <v>61176</v>
      </c>
      <c r="E32" s="65"/>
      <c r="F32" s="64"/>
      <c r="G32" s="65"/>
      <c r="H32" s="64">
        <v>350000</v>
      </c>
      <c r="I32" s="107">
        <v>2000</v>
      </c>
      <c r="J32" s="64">
        <v>5000</v>
      </c>
      <c r="K32" s="64">
        <v>18400</v>
      </c>
      <c r="L32" s="66">
        <f>SUM(I32:K32)</f>
        <v>25400</v>
      </c>
      <c r="M32" s="64">
        <v>35400</v>
      </c>
      <c r="N32" s="64">
        <v>35400</v>
      </c>
      <c r="O32" s="64">
        <v>35400</v>
      </c>
      <c r="P32" s="66">
        <f t="shared" si="35"/>
        <v>106200</v>
      </c>
      <c r="Q32" s="64">
        <v>35400</v>
      </c>
      <c r="R32" s="64">
        <v>35400</v>
      </c>
      <c r="S32" s="64">
        <v>35400</v>
      </c>
      <c r="T32" s="66">
        <f t="shared" si="32"/>
        <v>106200</v>
      </c>
      <c r="U32" s="64">
        <v>37400</v>
      </c>
      <c r="V32" s="64">
        <v>37400</v>
      </c>
      <c r="W32" s="64">
        <v>37400</v>
      </c>
      <c r="X32" s="66">
        <f t="shared" si="33"/>
        <v>112200</v>
      </c>
      <c r="Y32" s="109"/>
      <c r="Z32" s="113">
        <f t="shared" si="34"/>
        <v>350000</v>
      </c>
      <c r="AA32" s="47"/>
      <c r="AB32" s="47"/>
      <c r="AC32" s="47"/>
      <c r="AD32" s="47"/>
    </row>
    <row r="33" spans="1:30" ht="13.2" x14ac:dyDescent="0.25">
      <c r="A33" s="2"/>
      <c r="B33" s="55" t="s">
        <v>30</v>
      </c>
      <c r="C33" s="45"/>
      <c r="D33" s="79">
        <f>SUM(D18:D32)</f>
        <v>12355679.280000001</v>
      </c>
      <c r="E33" s="106"/>
      <c r="F33" s="79">
        <f>SUM(F18:F32)</f>
        <v>261</v>
      </c>
      <c r="G33" s="106"/>
      <c r="H33" s="111">
        <f>SUM(H18:H32)</f>
        <v>14589241.098800004</v>
      </c>
      <c r="I33" s="111">
        <f>SUM(I18:I32)</f>
        <v>1132600.9583333335</v>
      </c>
      <c r="J33" s="111">
        <f>SUM(J18:J32)</f>
        <v>1163101</v>
      </c>
      <c r="K33" s="111">
        <f>SUM(K18:K32)</f>
        <v>1195002</v>
      </c>
      <c r="L33" s="111">
        <f>SUM(I33:K33)</f>
        <v>3490703.9583333335</v>
      </c>
      <c r="M33" s="111">
        <f>SUM(M18:M32)</f>
        <v>1224001</v>
      </c>
      <c r="N33" s="111">
        <f>SUM(N18:N32)</f>
        <v>1222501</v>
      </c>
      <c r="O33" s="111">
        <f>SUM(O18:O32)</f>
        <v>1227001</v>
      </c>
      <c r="P33" s="111">
        <f t="shared" si="35"/>
        <v>3673503</v>
      </c>
      <c r="Q33" s="111">
        <f>SUM(Q18:Q32)</f>
        <v>1236001</v>
      </c>
      <c r="R33" s="111">
        <f>SUM(R18:R32)</f>
        <v>1239001</v>
      </c>
      <c r="S33" s="111">
        <f>SUM(S18:S32)</f>
        <v>1238551</v>
      </c>
      <c r="T33" s="111">
        <f t="shared" si="32"/>
        <v>3713553</v>
      </c>
      <c r="U33" s="111">
        <f>SUM(U18:U32)</f>
        <v>1241001</v>
      </c>
      <c r="V33" s="111">
        <f>SUM(V18:V32)</f>
        <v>1236501</v>
      </c>
      <c r="W33" s="111">
        <f>SUM(W18:W32)</f>
        <v>1233979</v>
      </c>
      <c r="X33" s="111">
        <f t="shared" si="33"/>
        <v>3711481</v>
      </c>
      <c r="Y33" s="109"/>
      <c r="Z33" s="110">
        <f t="shared" si="34"/>
        <v>14589240.958333334</v>
      </c>
      <c r="AA33" s="47"/>
      <c r="AB33" s="47"/>
      <c r="AC33" s="47"/>
      <c r="AD33" s="47"/>
    </row>
    <row r="34" spans="1:30" ht="13.2" x14ac:dyDescent="0.25">
      <c r="A34" s="2"/>
      <c r="C34" s="45"/>
      <c r="D34" s="60"/>
      <c r="E34" s="60"/>
      <c r="F34" s="60"/>
      <c r="G34" s="60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09"/>
      <c r="Z34" s="110"/>
      <c r="AA34" s="47"/>
      <c r="AB34" s="47"/>
      <c r="AC34" s="47"/>
      <c r="AD34" s="47"/>
    </row>
    <row r="35" spans="1:30" ht="13.8" x14ac:dyDescent="0.3">
      <c r="A35" s="63" t="s">
        <v>31</v>
      </c>
      <c r="B35" s="2"/>
      <c r="C35" s="120"/>
      <c r="D35" s="2"/>
      <c r="F35" s="2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109"/>
      <c r="Z35" s="110"/>
      <c r="AA35" s="47"/>
      <c r="AB35" s="47"/>
      <c r="AC35" s="47"/>
      <c r="AD35" s="47"/>
    </row>
    <row r="36" spans="1:30" ht="13.2" x14ac:dyDescent="0.25">
      <c r="A36" s="46"/>
      <c r="B36" s="2" t="s">
        <v>200</v>
      </c>
      <c r="C36" s="120"/>
      <c r="D36" s="107">
        <v>127017.79</v>
      </c>
      <c r="E36" s="65"/>
      <c r="F36" s="65"/>
      <c r="G36" s="65"/>
      <c r="H36" s="64">
        <f>'[11]Year 14'!$G$29</f>
        <v>127051</v>
      </c>
      <c r="I36" s="107">
        <v>53000</v>
      </c>
      <c r="J36" s="64">
        <v>22000</v>
      </c>
      <c r="K36" s="64">
        <v>14000</v>
      </c>
      <c r="L36" s="65">
        <f>SUM(I36:K36)</f>
        <v>89000</v>
      </c>
      <c r="M36" s="64"/>
      <c r="N36" s="64"/>
      <c r="O36" s="64"/>
      <c r="P36" s="65">
        <f t="shared" ref="P36:P45" si="39">SUM(M36:O36)</f>
        <v>0</v>
      </c>
      <c r="Q36" s="64">
        <v>22000</v>
      </c>
      <c r="R36" s="64">
        <v>14000</v>
      </c>
      <c r="S36" s="64"/>
      <c r="T36" s="65">
        <f t="shared" ref="T36:T45" si="40">SUM(Q36:S36)</f>
        <v>36000</v>
      </c>
      <c r="U36" s="64">
        <v>2051</v>
      </c>
      <c r="V36" s="64"/>
      <c r="W36" s="64"/>
      <c r="X36" s="65">
        <f t="shared" ref="X36:X45" si="41">SUM(U36:W36)</f>
        <v>2051</v>
      </c>
      <c r="Y36" s="121"/>
      <c r="Z36" s="122">
        <f t="shared" ref="Z36:Z45" si="42">SUM(L36,P36,T36,X36)</f>
        <v>127051</v>
      </c>
      <c r="AA36" s="47"/>
      <c r="AB36" s="47"/>
      <c r="AC36" s="47"/>
      <c r="AD36" s="47"/>
    </row>
    <row r="37" spans="1:30" ht="13.2" x14ac:dyDescent="0.25">
      <c r="A37" s="46"/>
      <c r="B37" s="2" t="s">
        <v>33</v>
      </c>
      <c r="C37" s="120"/>
      <c r="D37" s="107">
        <v>203700</v>
      </c>
      <c r="E37" s="65"/>
      <c r="F37" s="65"/>
      <c r="G37" s="65"/>
      <c r="H37" s="64">
        <f>'[11]Year 14'!$G$30+'[11]Year 14'!$G$31</f>
        <v>279983</v>
      </c>
      <c r="I37" s="107">
        <v>5600</v>
      </c>
      <c r="J37" s="64">
        <v>29500</v>
      </c>
      <c r="K37" s="64">
        <v>12000</v>
      </c>
      <c r="L37" s="65">
        <f t="shared" ref="L37:L81" si="43">SUM(I37:K37)</f>
        <v>47100</v>
      </c>
      <c r="M37" s="64">
        <v>65000</v>
      </c>
      <c r="N37" s="64">
        <v>53000</v>
      </c>
      <c r="O37" s="64">
        <v>3000</v>
      </c>
      <c r="P37" s="65">
        <f t="shared" si="39"/>
        <v>121000</v>
      </c>
      <c r="Q37" s="64">
        <v>43000</v>
      </c>
      <c r="R37" s="64">
        <v>5500</v>
      </c>
      <c r="S37" s="64">
        <v>5500</v>
      </c>
      <c r="T37" s="65">
        <f t="shared" si="40"/>
        <v>54000</v>
      </c>
      <c r="U37" s="64">
        <v>57683</v>
      </c>
      <c r="V37" s="64"/>
      <c r="W37" s="64">
        <v>200</v>
      </c>
      <c r="X37" s="65">
        <f t="shared" si="41"/>
        <v>57883</v>
      </c>
      <c r="Y37" s="121"/>
      <c r="Z37" s="122">
        <f t="shared" si="42"/>
        <v>279983</v>
      </c>
      <c r="AA37" s="47"/>
      <c r="AB37" s="47"/>
      <c r="AC37" s="47"/>
      <c r="AD37" s="47"/>
    </row>
    <row r="38" spans="1:30" ht="13.2" x14ac:dyDescent="0.25">
      <c r="A38" s="46"/>
      <c r="B38" s="2" t="s">
        <v>34</v>
      </c>
      <c r="C38" s="120"/>
      <c r="D38" s="107">
        <v>20000</v>
      </c>
      <c r="E38" s="65"/>
      <c r="F38" s="65"/>
      <c r="G38" s="65"/>
      <c r="H38" s="64">
        <f>'[11]Year 14'!$G$32</f>
        <v>30000</v>
      </c>
      <c r="I38" s="107"/>
      <c r="J38" s="64">
        <v>15000</v>
      </c>
      <c r="K38" s="64"/>
      <c r="L38" s="65">
        <f t="shared" si="43"/>
        <v>15000</v>
      </c>
      <c r="M38" s="64"/>
      <c r="N38" s="64"/>
      <c r="O38" s="64"/>
      <c r="P38" s="65">
        <f t="shared" si="39"/>
        <v>0</v>
      </c>
      <c r="Q38" s="64">
        <v>15000</v>
      </c>
      <c r="R38" s="64"/>
      <c r="S38" s="64"/>
      <c r="T38" s="65">
        <f t="shared" si="40"/>
        <v>15000</v>
      </c>
      <c r="U38" s="64"/>
      <c r="V38" s="64"/>
      <c r="W38" s="64"/>
      <c r="X38" s="65">
        <f t="shared" si="41"/>
        <v>0</v>
      </c>
      <c r="Y38" s="121"/>
      <c r="Z38" s="122">
        <f t="shared" si="42"/>
        <v>30000</v>
      </c>
      <c r="AA38" s="47"/>
      <c r="AB38" s="47"/>
      <c r="AC38" s="47"/>
      <c r="AD38" s="47"/>
    </row>
    <row r="39" spans="1:30" ht="13.2" x14ac:dyDescent="0.25">
      <c r="A39" s="46"/>
      <c r="B39" s="2" t="s">
        <v>190</v>
      </c>
      <c r="C39" s="120"/>
      <c r="D39" s="107"/>
      <c r="E39" s="65"/>
      <c r="F39" s="65"/>
      <c r="G39" s="65"/>
      <c r="H39" s="107">
        <f>'[11]Year 14'!$G$33+'[11]Year 14'!$G$34+'[11]Year 14'!$G$35</f>
        <v>159000</v>
      </c>
      <c r="I39" s="107">
        <v>23000</v>
      </c>
      <c r="J39" s="107">
        <v>79000</v>
      </c>
      <c r="K39" s="107"/>
      <c r="L39" s="65">
        <f t="shared" si="43"/>
        <v>102000</v>
      </c>
      <c r="M39" s="107">
        <v>15000</v>
      </c>
      <c r="N39" s="107">
        <v>8500</v>
      </c>
      <c r="O39" s="107"/>
      <c r="P39" s="65">
        <f t="shared" si="39"/>
        <v>23500</v>
      </c>
      <c r="Q39" s="107">
        <v>15000</v>
      </c>
      <c r="R39" s="107"/>
      <c r="S39" s="107">
        <v>5500</v>
      </c>
      <c r="T39" s="65">
        <f t="shared" si="40"/>
        <v>20500</v>
      </c>
      <c r="U39" s="107"/>
      <c r="V39" s="107">
        <v>13000</v>
      </c>
      <c r="W39" s="107"/>
      <c r="X39" s="65">
        <f t="shared" ref="X39" si="44">SUM(U39:W39)</f>
        <v>13000</v>
      </c>
      <c r="Y39" s="121"/>
      <c r="Z39" s="122">
        <f t="shared" ref="Z39" si="45">SUM(L39,P39,T39,X39)</f>
        <v>159000</v>
      </c>
      <c r="AA39" s="47"/>
      <c r="AB39" s="47"/>
      <c r="AC39" s="47"/>
      <c r="AD39" s="47"/>
    </row>
    <row r="40" spans="1:30" ht="13.2" x14ac:dyDescent="0.25">
      <c r="A40" s="46"/>
      <c r="B40" s="2" t="s">
        <v>191</v>
      </c>
      <c r="C40" s="120"/>
      <c r="D40" s="107"/>
      <c r="E40" s="65"/>
      <c r="F40" s="65"/>
      <c r="G40" s="65"/>
      <c r="H40" s="107">
        <f>'[11]Year 14'!$G$36</f>
        <v>22000</v>
      </c>
      <c r="I40" s="107"/>
      <c r="J40" s="107">
        <v>22000</v>
      </c>
      <c r="K40" s="107"/>
      <c r="L40" s="65">
        <f t="shared" si="43"/>
        <v>22000</v>
      </c>
      <c r="M40" s="107"/>
      <c r="N40" s="107"/>
      <c r="O40" s="107"/>
      <c r="P40" s="65"/>
      <c r="Q40" s="107"/>
      <c r="R40" s="107"/>
      <c r="S40" s="107"/>
      <c r="T40" s="65"/>
      <c r="U40" s="107"/>
      <c r="V40" s="107"/>
      <c r="W40" s="107"/>
      <c r="X40" s="65">
        <f t="shared" ref="X40:X44" si="46">SUM(U40:W40)</f>
        <v>0</v>
      </c>
      <c r="Y40" s="121"/>
      <c r="Z40" s="122">
        <f t="shared" ref="Z40:Z44" si="47">SUM(L40,P40,T40,X40)</f>
        <v>22000</v>
      </c>
      <c r="AA40" s="47"/>
      <c r="AB40" s="47"/>
      <c r="AC40" s="47"/>
      <c r="AD40" s="47"/>
    </row>
    <row r="41" spans="1:30" ht="13.2" x14ac:dyDescent="0.25">
      <c r="A41" s="46"/>
      <c r="B41" s="2" t="s">
        <v>35</v>
      </c>
      <c r="C41" s="120"/>
      <c r="D41" s="107">
        <v>84946.06</v>
      </c>
      <c r="E41" s="65"/>
      <c r="F41" s="65"/>
      <c r="G41" s="65"/>
      <c r="H41" s="64">
        <f>'[11]Year 14'!$G$37</f>
        <v>104000</v>
      </c>
      <c r="I41" s="107"/>
      <c r="J41" s="64">
        <v>33000</v>
      </c>
      <c r="K41" s="64"/>
      <c r="L41" s="65">
        <f t="shared" si="43"/>
        <v>33000</v>
      </c>
      <c r="M41" s="64"/>
      <c r="N41" s="64"/>
      <c r="O41" s="64">
        <v>22000</v>
      </c>
      <c r="P41" s="65">
        <f t="shared" si="39"/>
        <v>22000</v>
      </c>
      <c r="Q41" s="64">
        <v>26000</v>
      </c>
      <c r="R41" s="64"/>
      <c r="S41" s="64">
        <v>23000</v>
      </c>
      <c r="T41" s="65">
        <f t="shared" si="40"/>
        <v>49000</v>
      </c>
      <c r="U41" s="64"/>
      <c r="V41" s="64"/>
      <c r="W41" s="64"/>
      <c r="X41" s="65">
        <f t="shared" si="46"/>
        <v>0</v>
      </c>
      <c r="Y41" s="121"/>
      <c r="Z41" s="122">
        <f t="shared" si="47"/>
        <v>104000</v>
      </c>
      <c r="AA41" s="47"/>
      <c r="AB41" s="47"/>
      <c r="AC41" s="47"/>
      <c r="AD41" s="47"/>
    </row>
    <row r="42" spans="1:30" ht="13.2" x14ac:dyDescent="0.25">
      <c r="A42" s="46"/>
      <c r="B42" s="2" t="s">
        <v>198</v>
      </c>
      <c r="C42" s="120"/>
      <c r="D42" s="107"/>
      <c r="E42" s="65"/>
      <c r="F42" s="65"/>
      <c r="G42" s="65"/>
      <c r="H42" s="107">
        <v>100000</v>
      </c>
      <c r="I42" s="107">
        <v>30000</v>
      </c>
      <c r="J42" s="107">
        <v>35000</v>
      </c>
      <c r="K42" s="107"/>
      <c r="L42" s="65">
        <f t="shared" si="43"/>
        <v>65000</v>
      </c>
      <c r="M42" s="107"/>
      <c r="N42" s="107"/>
      <c r="O42" s="107"/>
      <c r="P42" s="65"/>
      <c r="Q42" s="107"/>
      <c r="R42" s="107"/>
      <c r="S42" s="107"/>
      <c r="T42" s="65"/>
      <c r="U42" s="107"/>
      <c r="V42" s="107"/>
      <c r="W42" s="107">
        <v>35000</v>
      </c>
      <c r="X42" s="65">
        <f t="shared" si="46"/>
        <v>35000</v>
      </c>
      <c r="Y42" s="121"/>
      <c r="Z42" s="122">
        <f t="shared" si="47"/>
        <v>100000</v>
      </c>
      <c r="AA42" s="47"/>
      <c r="AB42" s="47"/>
      <c r="AC42" s="47"/>
      <c r="AD42" s="47"/>
    </row>
    <row r="43" spans="1:30" s="127" customFormat="1" ht="13.2" x14ac:dyDescent="0.25">
      <c r="A43" s="125"/>
      <c r="B43" s="2" t="s">
        <v>36</v>
      </c>
      <c r="C43" s="120"/>
      <c r="D43" s="107">
        <f>73200+991880</f>
        <v>1065080</v>
      </c>
      <c r="E43" s="65"/>
      <c r="F43" s="65"/>
      <c r="G43" s="65"/>
      <c r="H43" s="64">
        <v>450000</v>
      </c>
      <c r="I43" s="107">
        <v>37500</v>
      </c>
      <c r="J43" s="64">
        <v>37500</v>
      </c>
      <c r="K43" s="64">
        <v>37500</v>
      </c>
      <c r="L43" s="65">
        <f t="shared" si="43"/>
        <v>112500</v>
      </c>
      <c r="M43" s="107">
        <v>37500</v>
      </c>
      <c r="N43" s="64">
        <v>37500</v>
      </c>
      <c r="O43" s="64">
        <v>37500</v>
      </c>
      <c r="P43" s="65">
        <f t="shared" si="39"/>
        <v>112500</v>
      </c>
      <c r="Q43" s="107">
        <v>37500</v>
      </c>
      <c r="R43" s="64">
        <v>37500</v>
      </c>
      <c r="S43" s="64">
        <v>37500</v>
      </c>
      <c r="T43" s="65">
        <f t="shared" si="40"/>
        <v>112500</v>
      </c>
      <c r="U43" s="107">
        <v>37500</v>
      </c>
      <c r="V43" s="64">
        <v>37500</v>
      </c>
      <c r="W43" s="64">
        <v>37500</v>
      </c>
      <c r="X43" s="65">
        <f t="shared" si="46"/>
        <v>112500</v>
      </c>
      <c r="Y43" s="121"/>
      <c r="Z43" s="122">
        <f t="shared" si="47"/>
        <v>450000</v>
      </c>
      <c r="AA43" s="126"/>
      <c r="AB43" s="126"/>
      <c r="AC43" s="126"/>
      <c r="AD43" s="126"/>
    </row>
    <row r="44" spans="1:30" ht="13.2" x14ac:dyDescent="0.25">
      <c r="A44" s="46"/>
      <c r="B44" s="2" t="s">
        <v>37</v>
      </c>
      <c r="C44" s="120"/>
      <c r="D44" s="107">
        <f>124837.44+20000+13000+14000+32000+48500</f>
        <v>252337.44</v>
      </c>
      <c r="E44" s="65"/>
      <c r="F44" s="65"/>
      <c r="G44" s="65"/>
      <c r="H44" s="64">
        <f>'[11]Year 14'!$G$40</f>
        <v>197000</v>
      </c>
      <c r="I44" s="107">
        <v>5000</v>
      </c>
      <c r="J44" s="64"/>
      <c r="K44" s="64">
        <v>22000</v>
      </c>
      <c r="L44" s="65">
        <f t="shared" si="43"/>
        <v>27000</v>
      </c>
      <c r="M44" s="64">
        <v>18000</v>
      </c>
      <c r="N44" s="64">
        <v>17000</v>
      </c>
      <c r="O44" s="64">
        <v>12000</v>
      </c>
      <c r="P44" s="65">
        <f t="shared" si="39"/>
        <v>47000</v>
      </c>
      <c r="Q44" s="64">
        <v>25000</v>
      </c>
      <c r="R44" s="64">
        <v>32500</v>
      </c>
      <c r="S44" s="64">
        <v>12500</v>
      </c>
      <c r="T44" s="65">
        <f t="shared" si="40"/>
        <v>70000</v>
      </c>
      <c r="U44" s="64">
        <v>5000</v>
      </c>
      <c r="V44" s="64">
        <v>22000</v>
      </c>
      <c r="W44" s="64">
        <v>26000</v>
      </c>
      <c r="X44" s="65">
        <f t="shared" si="46"/>
        <v>53000</v>
      </c>
      <c r="Y44" s="121"/>
      <c r="Z44" s="122">
        <f t="shared" si="47"/>
        <v>197000</v>
      </c>
      <c r="AA44" s="47"/>
      <c r="AB44" s="47"/>
      <c r="AC44" s="47"/>
      <c r="AD44" s="47"/>
    </row>
    <row r="45" spans="1:30" ht="13.2" x14ac:dyDescent="0.25">
      <c r="A45" s="2"/>
      <c r="B45" s="55" t="s">
        <v>38</v>
      </c>
      <c r="C45" s="120"/>
      <c r="D45" s="56">
        <f>SUM(D36:D44)</f>
        <v>1753081.29</v>
      </c>
      <c r="E45" s="57"/>
      <c r="F45" s="57"/>
      <c r="G45" s="57"/>
      <c r="H45" s="111">
        <f>SUM(H36:H44)</f>
        <v>1469034</v>
      </c>
      <c r="I45" s="111">
        <f>SUM(I36:I44)</f>
        <v>154100</v>
      </c>
      <c r="J45" s="111">
        <f>SUM(J36:J44)</f>
        <v>273000</v>
      </c>
      <c r="K45" s="111">
        <f>SUM(K36:K44)</f>
        <v>85500</v>
      </c>
      <c r="L45" s="65">
        <f t="shared" si="43"/>
        <v>512600</v>
      </c>
      <c r="M45" s="111">
        <f>SUM(M36:M44)</f>
        <v>135500</v>
      </c>
      <c r="N45" s="111">
        <f>SUM(N36:N44)</f>
        <v>116000</v>
      </c>
      <c r="O45" s="111">
        <f>SUM(O36:O44)</f>
        <v>74500</v>
      </c>
      <c r="P45" s="111">
        <f t="shared" si="39"/>
        <v>326000</v>
      </c>
      <c r="Q45" s="111">
        <f>SUM(Q36:Q44)</f>
        <v>183500</v>
      </c>
      <c r="R45" s="111">
        <f>SUM(R36:R44)</f>
        <v>89500</v>
      </c>
      <c r="S45" s="111">
        <f>SUM(S36:S44)</f>
        <v>84000</v>
      </c>
      <c r="T45" s="111">
        <f t="shared" si="40"/>
        <v>357000</v>
      </c>
      <c r="U45" s="111">
        <f>SUM(U36:U44)</f>
        <v>102234</v>
      </c>
      <c r="V45" s="111">
        <f>SUM(V36:V44)</f>
        <v>72500</v>
      </c>
      <c r="W45" s="111">
        <f>SUM(W36:W44)</f>
        <v>98700</v>
      </c>
      <c r="X45" s="111">
        <f t="shared" si="41"/>
        <v>273434</v>
      </c>
      <c r="Y45" s="121"/>
      <c r="Z45" s="122">
        <f t="shared" si="42"/>
        <v>1469034</v>
      </c>
      <c r="AA45" s="47"/>
      <c r="AB45" s="47"/>
      <c r="AC45" s="47"/>
      <c r="AD45" s="47"/>
    </row>
    <row r="46" spans="1:30" ht="13.2" x14ac:dyDescent="0.25">
      <c r="A46" s="52"/>
      <c r="B46" s="52"/>
      <c r="C46" s="120"/>
      <c r="D46" s="46"/>
      <c r="F46" s="2"/>
      <c r="H46" s="66"/>
      <c r="I46" s="66"/>
      <c r="J46" s="66"/>
      <c r="K46" s="66"/>
      <c r="L46" s="65">
        <f t="shared" si="43"/>
        <v>0</v>
      </c>
      <c r="M46" s="66"/>
      <c r="N46" s="66"/>
      <c r="O46" s="66"/>
      <c r="P46" s="65"/>
      <c r="Q46" s="66"/>
      <c r="R46" s="66"/>
      <c r="S46" s="66"/>
      <c r="T46" s="65"/>
      <c r="U46" s="66"/>
      <c r="V46" s="66"/>
      <c r="W46" s="66"/>
      <c r="X46" s="65"/>
      <c r="Y46" s="121"/>
      <c r="Z46" s="122"/>
      <c r="AA46" s="47"/>
      <c r="AB46" s="47"/>
      <c r="AC46" s="47"/>
      <c r="AD46" s="47"/>
    </row>
    <row r="47" spans="1:30" ht="13.8" x14ac:dyDescent="0.3">
      <c r="A47" s="67" t="s">
        <v>39</v>
      </c>
      <c r="B47" s="2"/>
      <c r="C47" s="120"/>
      <c r="D47" s="66"/>
      <c r="E47" s="65"/>
      <c r="F47" s="65"/>
      <c r="G47" s="65"/>
      <c r="H47" s="66"/>
      <c r="I47" s="66"/>
      <c r="J47" s="66"/>
      <c r="K47" s="66"/>
      <c r="L47" s="65">
        <f t="shared" si="43"/>
        <v>0</v>
      </c>
      <c r="M47" s="66"/>
      <c r="N47" s="66"/>
      <c r="O47" s="66"/>
      <c r="P47" s="65"/>
      <c r="Q47" s="66"/>
      <c r="R47" s="66"/>
      <c r="S47" s="66"/>
      <c r="T47" s="65"/>
      <c r="U47" s="66"/>
      <c r="V47" s="66"/>
      <c r="W47" s="66"/>
      <c r="X47" s="65"/>
      <c r="Y47" s="121"/>
      <c r="Z47" s="122"/>
      <c r="AA47" s="47"/>
      <c r="AB47" s="47"/>
      <c r="AC47" s="47"/>
      <c r="AD47" s="47"/>
    </row>
    <row r="48" spans="1:30" s="127" customFormat="1" ht="13.2" x14ac:dyDescent="0.25">
      <c r="A48" s="125"/>
      <c r="B48" s="2" t="s">
        <v>40</v>
      </c>
      <c r="C48" s="120"/>
      <c r="D48" s="107">
        <v>375033.81</v>
      </c>
      <c r="E48" s="65"/>
      <c r="F48" s="65"/>
      <c r="G48" s="65"/>
      <c r="H48" s="64">
        <f>180000+220000</f>
        <v>400000</v>
      </c>
      <c r="I48" s="107">
        <f>$H$48/12</f>
        <v>33333.333333333336</v>
      </c>
      <c r="J48" s="107">
        <f t="shared" ref="J48:K48" si="48">$H$48/12</f>
        <v>33333.333333333336</v>
      </c>
      <c r="K48" s="107">
        <f t="shared" si="48"/>
        <v>33333.333333333336</v>
      </c>
      <c r="L48" s="65">
        <f t="shared" si="43"/>
        <v>100000</v>
      </c>
      <c r="M48" s="107">
        <f t="shared" ref="M48:O48" si="49">$H$48/12</f>
        <v>33333.333333333336</v>
      </c>
      <c r="N48" s="107">
        <f t="shared" si="49"/>
        <v>33333.333333333336</v>
      </c>
      <c r="O48" s="107">
        <f t="shared" si="49"/>
        <v>33333.333333333336</v>
      </c>
      <c r="P48" s="65">
        <f t="shared" ref="P48:P55" si="50">SUM(M48:O48)</f>
        <v>100000</v>
      </c>
      <c r="Q48" s="107">
        <f t="shared" ref="Q48:S48" si="51">$H$48/12</f>
        <v>33333.333333333336</v>
      </c>
      <c r="R48" s="107">
        <f t="shared" si="51"/>
        <v>33333.333333333336</v>
      </c>
      <c r="S48" s="107">
        <f t="shared" si="51"/>
        <v>33333.333333333336</v>
      </c>
      <c r="T48" s="65">
        <f t="shared" ref="T48:T55" si="52">SUM(Q48:S48)</f>
        <v>100000</v>
      </c>
      <c r="U48" s="107">
        <f t="shared" ref="U48:W48" si="53">$H$48/12</f>
        <v>33333.333333333336</v>
      </c>
      <c r="V48" s="107">
        <f t="shared" si="53"/>
        <v>33333.333333333336</v>
      </c>
      <c r="W48" s="107">
        <f t="shared" si="53"/>
        <v>33333.333333333336</v>
      </c>
      <c r="X48" s="65">
        <f t="shared" ref="X48:X55" si="54">SUM(U48:W48)</f>
        <v>100000</v>
      </c>
      <c r="Y48" s="121"/>
      <c r="Z48" s="122">
        <f t="shared" ref="Z48:Z55" si="55">SUM(L48,P48,T48,X48)</f>
        <v>400000</v>
      </c>
      <c r="AA48" s="126"/>
      <c r="AB48" s="126"/>
      <c r="AC48" s="126"/>
      <c r="AD48" s="126"/>
    </row>
    <row r="49" spans="1:30" ht="13.2" x14ac:dyDescent="0.25">
      <c r="A49" s="46"/>
      <c r="B49" s="2" t="s">
        <v>41</v>
      </c>
      <c r="C49" s="120"/>
      <c r="D49" s="107">
        <f>5000+5960</f>
        <v>10960</v>
      </c>
      <c r="E49" s="65"/>
      <c r="F49" s="65"/>
      <c r="G49" s="65"/>
      <c r="H49" s="64">
        <f>'[11]Year 14'!$G$54+'[11]Year 14'!$G$61+'[11]Year 14'!$G$56</f>
        <v>125000</v>
      </c>
      <c r="I49" s="107"/>
      <c r="J49" s="64">
        <v>25000</v>
      </c>
      <c r="K49" s="64"/>
      <c r="L49" s="65">
        <f t="shared" si="43"/>
        <v>25000</v>
      </c>
      <c r="M49" s="64"/>
      <c r="N49" s="64"/>
      <c r="O49" s="64">
        <v>55000</v>
      </c>
      <c r="P49" s="65">
        <f t="shared" si="50"/>
        <v>55000</v>
      </c>
      <c r="Q49" s="64"/>
      <c r="R49" s="64"/>
      <c r="S49" s="64">
        <v>22000</v>
      </c>
      <c r="T49" s="65">
        <f t="shared" si="52"/>
        <v>22000</v>
      </c>
      <c r="U49" s="64"/>
      <c r="V49" s="64"/>
      <c r="W49" s="64">
        <v>23000</v>
      </c>
      <c r="X49" s="65">
        <f t="shared" si="54"/>
        <v>23000</v>
      </c>
      <c r="Y49" s="121"/>
      <c r="Z49" s="122">
        <f t="shared" si="55"/>
        <v>125000</v>
      </c>
      <c r="AA49" s="47"/>
      <c r="AB49" s="47"/>
      <c r="AC49" s="47"/>
      <c r="AD49" s="47"/>
    </row>
    <row r="50" spans="1:30" ht="13.2" x14ac:dyDescent="0.25">
      <c r="A50" s="46"/>
      <c r="B50" s="2" t="s">
        <v>193</v>
      </c>
      <c r="C50" s="120"/>
      <c r="D50" s="107">
        <v>230000</v>
      </c>
      <c r="E50" s="65"/>
      <c r="F50" s="65"/>
      <c r="G50" s="65"/>
      <c r="H50" s="64">
        <f>'[11]Year 14'!$G$53+'[11]Year 14'!$G$58</f>
        <v>362560</v>
      </c>
      <c r="I50" s="107">
        <v>30213</v>
      </c>
      <c r="J50" s="64">
        <v>30213</v>
      </c>
      <c r="K50" s="64">
        <v>30213</v>
      </c>
      <c r="L50" s="65">
        <f t="shared" si="43"/>
        <v>90639</v>
      </c>
      <c r="M50" s="107">
        <v>30213</v>
      </c>
      <c r="N50" s="64">
        <v>30213</v>
      </c>
      <c r="O50" s="64">
        <v>30213</v>
      </c>
      <c r="P50" s="65">
        <f t="shared" si="50"/>
        <v>90639</v>
      </c>
      <c r="Q50" s="107">
        <v>30213</v>
      </c>
      <c r="R50" s="64">
        <v>30213</v>
      </c>
      <c r="S50" s="64">
        <v>30213</v>
      </c>
      <c r="T50" s="65">
        <f t="shared" si="52"/>
        <v>90639</v>
      </c>
      <c r="U50" s="107">
        <v>30213</v>
      </c>
      <c r="V50" s="64">
        <v>30213</v>
      </c>
      <c r="W50" s="64">
        <v>30217</v>
      </c>
      <c r="X50" s="65">
        <f t="shared" si="54"/>
        <v>90643</v>
      </c>
      <c r="Y50" s="121"/>
      <c r="Z50" s="122">
        <f t="shared" si="55"/>
        <v>362560</v>
      </c>
      <c r="AA50" s="47"/>
      <c r="AB50" s="47"/>
      <c r="AC50" s="47"/>
      <c r="AD50" s="47"/>
    </row>
    <row r="51" spans="1:30" ht="13.2" x14ac:dyDescent="0.25">
      <c r="A51" s="46"/>
      <c r="B51" s="2" t="s">
        <v>192</v>
      </c>
      <c r="C51" s="120"/>
      <c r="D51" s="107"/>
      <c r="E51" s="65"/>
      <c r="F51" s="65"/>
      <c r="G51" s="65"/>
      <c r="H51" s="107">
        <f>'[11]Year 14'!$G$49</f>
        <v>25000</v>
      </c>
      <c r="I51" s="107"/>
      <c r="J51" s="107"/>
      <c r="K51" s="107"/>
      <c r="L51" s="65">
        <f t="shared" si="43"/>
        <v>0</v>
      </c>
      <c r="M51" s="107"/>
      <c r="N51" s="107"/>
      <c r="O51" s="107">
        <v>25000</v>
      </c>
      <c r="P51" s="65">
        <f t="shared" si="50"/>
        <v>25000</v>
      </c>
      <c r="Q51" s="107"/>
      <c r="R51" s="107"/>
      <c r="S51" s="107"/>
      <c r="T51" s="65">
        <f t="shared" si="52"/>
        <v>0</v>
      </c>
      <c r="U51" s="107"/>
      <c r="V51" s="107"/>
      <c r="W51" s="107"/>
      <c r="X51" s="65">
        <f t="shared" si="54"/>
        <v>0</v>
      </c>
      <c r="Y51" s="121"/>
      <c r="Z51" s="122">
        <f t="shared" si="55"/>
        <v>25000</v>
      </c>
      <c r="AA51" s="47"/>
      <c r="AB51" s="47"/>
      <c r="AC51" s="47"/>
      <c r="AD51" s="47"/>
    </row>
    <row r="52" spans="1:30" ht="13.2" x14ac:dyDescent="0.25">
      <c r="A52" s="46"/>
      <c r="B52" s="2" t="s">
        <v>194</v>
      </c>
      <c r="C52" s="120"/>
      <c r="D52" s="107"/>
      <c r="E52" s="65"/>
      <c r="F52" s="65"/>
      <c r="G52" s="65"/>
      <c r="H52" s="107">
        <f>'[11]Year 14'!$G$59</f>
        <v>193053</v>
      </c>
      <c r="I52" s="107"/>
      <c r="J52" s="107"/>
      <c r="K52" s="107"/>
      <c r="L52" s="65">
        <f t="shared" si="43"/>
        <v>0</v>
      </c>
      <c r="M52" s="107">
        <v>96526</v>
      </c>
      <c r="N52" s="107"/>
      <c r="O52" s="107"/>
      <c r="P52" s="65">
        <f t="shared" si="50"/>
        <v>96526</v>
      </c>
      <c r="Q52" s="107"/>
      <c r="R52" s="107"/>
      <c r="S52" s="107">
        <v>96527</v>
      </c>
      <c r="T52" s="65">
        <f t="shared" si="52"/>
        <v>96527</v>
      </c>
      <c r="U52" s="107"/>
      <c r="V52" s="107"/>
      <c r="W52" s="107"/>
      <c r="X52" s="65">
        <f t="shared" si="54"/>
        <v>0</v>
      </c>
      <c r="Y52" s="121"/>
      <c r="Z52" s="122">
        <f t="shared" si="55"/>
        <v>193053</v>
      </c>
      <c r="AA52" s="47"/>
      <c r="AB52" s="47"/>
      <c r="AC52" s="47"/>
      <c r="AD52" s="47"/>
    </row>
    <row r="53" spans="1:30" ht="13.2" x14ac:dyDescent="0.25">
      <c r="A53" s="46"/>
      <c r="B53" s="2" t="s">
        <v>43</v>
      </c>
      <c r="C53" s="120"/>
      <c r="D53" s="107">
        <v>60000</v>
      </c>
      <c r="E53" s="65"/>
      <c r="F53" s="65"/>
      <c r="G53" s="65"/>
      <c r="H53" s="64">
        <f>'[11]Year 14'!$G$55</f>
        <v>30000</v>
      </c>
      <c r="I53" s="107">
        <v>500</v>
      </c>
      <c r="J53" s="64">
        <v>12000</v>
      </c>
      <c r="K53" s="64">
        <v>250</v>
      </c>
      <c r="L53" s="65">
        <f t="shared" si="43"/>
        <v>12750</v>
      </c>
      <c r="M53" s="64">
        <v>250</v>
      </c>
      <c r="N53" s="64">
        <v>8000</v>
      </c>
      <c r="O53" s="64">
        <v>2500</v>
      </c>
      <c r="P53" s="65">
        <f t="shared" si="50"/>
        <v>10750</v>
      </c>
      <c r="Q53" s="64">
        <v>250</v>
      </c>
      <c r="R53" s="64">
        <v>250</v>
      </c>
      <c r="S53" s="64">
        <v>3500</v>
      </c>
      <c r="T53" s="65">
        <f t="shared" si="52"/>
        <v>4000</v>
      </c>
      <c r="U53" s="64">
        <v>500</v>
      </c>
      <c r="V53" s="64">
        <v>500</v>
      </c>
      <c r="W53" s="64">
        <v>1500</v>
      </c>
      <c r="X53" s="65">
        <f t="shared" si="54"/>
        <v>2500</v>
      </c>
      <c r="Y53" s="121"/>
      <c r="Z53" s="122">
        <f t="shared" si="55"/>
        <v>30000</v>
      </c>
      <c r="AA53" s="47"/>
      <c r="AB53" s="47"/>
      <c r="AC53" s="47"/>
      <c r="AD53" s="47"/>
    </row>
    <row r="54" spans="1:30" ht="13.2" x14ac:dyDescent="0.25">
      <c r="A54" s="46"/>
      <c r="B54" s="2" t="s">
        <v>44</v>
      </c>
      <c r="C54" s="120"/>
      <c r="D54" s="107">
        <v>235404</v>
      </c>
      <c r="E54" s="65"/>
      <c r="F54" s="65"/>
      <c r="G54" s="65"/>
      <c r="H54" s="64">
        <f>'[11]Year 14'!$G$62</f>
        <v>383000</v>
      </c>
      <c r="I54" s="107">
        <v>31916</v>
      </c>
      <c r="J54" s="64">
        <v>31916</v>
      </c>
      <c r="K54" s="64">
        <v>31916</v>
      </c>
      <c r="L54" s="65">
        <f t="shared" si="43"/>
        <v>95748</v>
      </c>
      <c r="M54" s="107">
        <v>31916</v>
      </c>
      <c r="N54" s="64">
        <v>31916</v>
      </c>
      <c r="O54" s="64">
        <v>31916</v>
      </c>
      <c r="P54" s="65">
        <f t="shared" si="50"/>
        <v>95748</v>
      </c>
      <c r="Q54" s="107">
        <v>31916</v>
      </c>
      <c r="R54" s="64">
        <v>31916</v>
      </c>
      <c r="S54" s="64">
        <v>31916</v>
      </c>
      <c r="T54" s="65">
        <f t="shared" si="52"/>
        <v>95748</v>
      </c>
      <c r="U54" s="107">
        <v>31916</v>
      </c>
      <c r="V54" s="64">
        <v>31916</v>
      </c>
      <c r="W54" s="64">
        <f>31916+8</f>
        <v>31924</v>
      </c>
      <c r="X54" s="65">
        <f t="shared" si="54"/>
        <v>95756</v>
      </c>
      <c r="Y54" s="121"/>
      <c r="Z54" s="123">
        <f t="shared" si="55"/>
        <v>383000</v>
      </c>
      <c r="AA54" s="47"/>
      <c r="AB54" s="47"/>
      <c r="AC54" s="47"/>
      <c r="AD54" s="47"/>
    </row>
    <row r="55" spans="1:30" ht="13.2" x14ac:dyDescent="0.25">
      <c r="A55" s="46"/>
      <c r="B55" s="55" t="s">
        <v>45</v>
      </c>
      <c r="C55" s="120"/>
      <c r="D55" s="56">
        <f>SUM(D48:D54)</f>
        <v>911397.81</v>
      </c>
      <c r="E55" s="57"/>
      <c r="F55" s="57"/>
      <c r="G55" s="57"/>
      <c r="H55" s="111">
        <f>SUM(H48:H54)</f>
        <v>1518613</v>
      </c>
      <c r="I55" s="111">
        <f>SUM(I48:I54)</f>
        <v>95962.333333333343</v>
      </c>
      <c r="J55" s="111">
        <f t="shared" ref="J55:K55" si="56">SUM(J48:J54)</f>
        <v>132462.33333333334</v>
      </c>
      <c r="K55" s="111">
        <f t="shared" si="56"/>
        <v>95712.333333333343</v>
      </c>
      <c r="L55" s="65">
        <f t="shared" si="43"/>
        <v>324137</v>
      </c>
      <c r="M55" s="111">
        <f>SUM(M48:M54)</f>
        <v>192238.33333333334</v>
      </c>
      <c r="N55" s="111">
        <f t="shared" ref="N55:O55" si="57">SUM(N48:N54)</f>
        <v>103462.33333333334</v>
      </c>
      <c r="O55" s="111">
        <f t="shared" si="57"/>
        <v>177962.33333333334</v>
      </c>
      <c r="P55" s="111">
        <f t="shared" si="50"/>
        <v>473663</v>
      </c>
      <c r="Q55" s="111">
        <f>SUM(Q48:Q54)</f>
        <v>95712.333333333343</v>
      </c>
      <c r="R55" s="111">
        <f t="shared" ref="R55:S55" si="58">SUM(R48:R54)</f>
        <v>95712.333333333343</v>
      </c>
      <c r="S55" s="111">
        <f t="shared" si="58"/>
        <v>217489.33333333334</v>
      </c>
      <c r="T55" s="111">
        <f t="shared" si="52"/>
        <v>408914</v>
      </c>
      <c r="U55" s="111">
        <f>SUM(U48:U54)</f>
        <v>95962.333333333343</v>
      </c>
      <c r="V55" s="111">
        <f t="shared" ref="V55:W55" si="59">SUM(V48:V54)</f>
        <v>95962.333333333343</v>
      </c>
      <c r="W55" s="111">
        <f t="shared" si="59"/>
        <v>119974.33333333334</v>
      </c>
      <c r="X55" s="111">
        <f t="shared" si="54"/>
        <v>311899</v>
      </c>
      <c r="Y55" s="121"/>
      <c r="Z55" s="122">
        <f t="shared" si="55"/>
        <v>1518613</v>
      </c>
      <c r="AA55" s="47"/>
      <c r="AB55" s="47"/>
      <c r="AC55" s="47"/>
      <c r="AD55" s="47"/>
    </row>
    <row r="56" spans="1:30" ht="13.2" x14ac:dyDescent="0.25">
      <c r="A56" s="46"/>
      <c r="B56" s="52"/>
      <c r="C56" s="120"/>
      <c r="D56" s="60"/>
      <c r="E56" s="60"/>
      <c r="F56" s="60"/>
      <c r="G56" s="60"/>
      <c r="H56" s="114"/>
      <c r="I56" s="114"/>
      <c r="J56" s="114"/>
      <c r="K56" s="114"/>
      <c r="L56" s="65">
        <f t="shared" si="43"/>
        <v>0</v>
      </c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21"/>
      <c r="Z56" s="122"/>
      <c r="AA56" s="47"/>
      <c r="AB56" s="47"/>
      <c r="AC56" s="47"/>
      <c r="AD56" s="47"/>
    </row>
    <row r="57" spans="1:30" ht="13.8" x14ac:dyDescent="0.3">
      <c r="A57" s="67" t="s">
        <v>46</v>
      </c>
      <c r="B57" s="2"/>
      <c r="C57" s="120"/>
      <c r="D57" s="46"/>
      <c r="F57" s="2"/>
      <c r="H57" s="66"/>
      <c r="I57" s="66"/>
      <c r="J57" s="66"/>
      <c r="K57" s="66"/>
      <c r="L57" s="65">
        <f t="shared" si="43"/>
        <v>0</v>
      </c>
      <c r="M57" s="66"/>
      <c r="N57" s="66"/>
      <c r="O57" s="66"/>
      <c r="P57" s="65"/>
      <c r="Q57" s="66"/>
      <c r="R57" s="66"/>
      <c r="S57" s="66"/>
      <c r="T57" s="65"/>
      <c r="U57" s="66"/>
      <c r="V57" s="66"/>
      <c r="W57" s="66"/>
      <c r="X57" s="65"/>
      <c r="Y57" s="121"/>
      <c r="Z57" s="122"/>
      <c r="AA57" s="47"/>
      <c r="AB57" s="47"/>
      <c r="AC57" s="47"/>
      <c r="AD57" s="47"/>
    </row>
    <row r="58" spans="1:30" ht="13.2" x14ac:dyDescent="0.25">
      <c r="A58" s="46"/>
      <c r="B58" s="2" t="s">
        <v>196</v>
      </c>
      <c r="C58" s="120"/>
      <c r="D58" s="107">
        <v>55000</v>
      </c>
      <c r="E58" s="65"/>
      <c r="F58" s="65"/>
      <c r="G58" s="65"/>
      <c r="H58" s="64">
        <f>'[11]Year 14'!$G$70+'[11]Year 14'!$G$71</f>
        <v>97000</v>
      </c>
      <c r="I58" s="107">
        <v>12000</v>
      </c>
      <c r="J58" s="64">
        <v>16000</v>
      </c>
      <c r="K58" s="64">
        <v>1500</v>
      </c>
      <c r="L58" s="65">
        <f t="shared" si="43"/>
        <v>29500</v>
      </c>
      <c r="M58" s="64">
        <v>1500</v>
      </c>
      <c r="N58" s="64">
        <v>1500</v>
      </c>
      <c r="O58" s="64">
        <v>5000</v>
      </c>
      <c r="P58" s="65">
        <f t="shared" ref="P58:P66" si="60">SUM(M58:O58)</f>
        <v>8000</v>
      </c>
      <c r="Q58" s="64">
        <v>33000</v>
      </c>
      <c r="R58" s="64">
        <v>1500</v>
      </c>
      <c r="S58" s="64">
        <v>5500</v>
      </c>
      <c r="T58" s="65">
        <f t="shared" ref="T58:T66" si="61">SUM(Q58:S58)</f>
        <v>40000</v>
      </c>
      <c r="U58" s="64">
        <v>12500</v>
      </c>
      <c r="V58" s="64">
        <v>3500</v>
      </c>
      <c r="W58" s="64">
        <v>3500</v>
      </c>
      <c r="X58" s="65">
        <f t="shared" ref="X58:X66" si="62">SUM(U58:W58)</f>
        <v>19500</v>
      </c>
      <c r="Y58" s="121"/>
      <c r="Z58" s="122">
        <f t="shared" ref="Z58:Z66" si="63">SUM(L58,P58,T58,X58)</f>
        <v>97000</v>
      </c>
      <c r="AA58" s="47"/>
      <c r="AB58" s="47"/>
      <c r="AC58" s="47"/>
      <c r="AD58" s="47"/>
    </row>
    <row r="59" spans="1:30" ht="13.2" x14ac:dyDescent="0.25">
      <c r="A59" s="46"/>
      <c r="B59" s="2" t="s">
        <v>48</v>
      </c>
      <c r="C59" s="120"/>
      <c r="D59" s="107">
        <v>81637.919999999998</v>
      </c>
      <c r="E59" s="65"/>
      <c r="F59" s="65"/>
      <c r="G59" s="65"/>
      <c r="H59" s="64">
        <f>'[11]Year 14'!$G$72</f>
        <v>81638</v>
      </c>
      <c r="I59" s="107">
        <v>6803</v>
      </c>
      <c r="J59" s="64">
        <v>6803</v>
      </c>
      <c r="K59" s="64">
        <v>6803</v>
      </c>
      <c r="L59" s="65">
        <f t="shared" si="43"/>
        <v>20409</v>
      </c>
      <c r="M59" s="107">
        <v>6803</v>
      </c>
      <c r="N59" s="64">
        <v>6803</v>
      </c>
      <c r="O59" s="64">
        <v>6803</v>
      </c>
      <c r="P59" s="65">
        <f t="shared" si="60"/>
        <v>20409</v>
      </c>
      <c r="Q59" s="107">
        <v>6803</v>
      </c>
      <c r="R59" s="64">
        <v>6803</v>
      </c>
      <c r="S59" s="64">
        <v>6803</v>
      </c>
      <c r="T59" s="65">
        <f t="shared" si="61"/>
        <v>20409</v>
      </c>
      <c r="U59" s="107">
        <v>6803</v>
      </c>
      <c r="V59" s="64">
        <v>6803</v>
      </c>
      <c r="W59" s="64">
        <v>6805</v>
      </c>
      <c r="X59" s="65">
        <f t="shared" si="62"/>
        <v>20411</v>
      </c>
      <c r="Y59" s="121"/>
      <c r="Z59" s="122">
        <f t="shared" si="63"/>
        <v>81638</v>
      </c>
      <c r="AA59" s="47"/>
      <c r="AB59" s="47"/>
      <c r="AC59" s="47"/>
      <c r="AD59" s="47"/>
    </row>
    <row r="60" spans="1:30" ht="13.2" x14ac:dyDescent="0.25">
      <c r="A60" s="46"/>
      <c r="B60" s="2" t="s">
        <v>49</v>
      </c>
      <c r="C60" s="120"/>
      <c r="D60" s="107">
        <v>178443.4</v>
      </c>
      <c r="E60" s="65"/>
      <c r="F60" s="65"/>
      <c r="G60" s="65"/>
      <c r="H60" s="64">
        <f>'[11]Year 14'!$G$73</f>
        <v>182012.88</v>
      </c>
      <c r="I60" s="107">
        <v>15167</v>
      </c>
      <c r="J60" s="64">
        <v>15167</v>
      </c>
      <c r="K60" s="64">
        <v>15167</v>
      </c>
      <c r="L60" s="65">
        <f t="shared" si="43"/>
        <v>45501</v>
      </c>
      <c r="M60" s="107">
        <v>15167</v>
      </c>
      <c r="N60" s="64">
        <v>15167</v>
      </c>
      <c r="O60" s="64">
        <v>15167</v>
      </c>
      <c r="P60" s="65">
        <f t="shared" si="60"/>
        <v>45501</v>
      </c>
      <c r="Q60" s="107">
        <v>15167</v>
      </c>
      <c r="R60" s="64">
        <v>15167</v>
      </c>
      <c r="S60" s="64">
        <v>15167</v>
      </c>
      <c r="T60" s="65">
        <f t="shared" si="61"/>
        <v>45501</v>
      </c>
      <c r="U60" s="107">
        <v>15167</v>
      </c>
      <c r="V60" s="64">
        <v>15167</v>
      </c>
      <c r="W60" s="64">
        <v>15176</v>
      </c>
      <c r="X60" s="65">
        <f t="shared" si="62"/>
        <v>45510</v>
      </c>
      <c r="Y60" s="121"/>
      <c r="Z60" s="122">
        <f t="shared" si="63"/>
        <v>182013</v>
      </c>
      <c r="AA60" s="47"/>
      <c r="AB60" s="47"/>
      <c r="AC60" s="47"/>
      <c r="AD60" s="47"/>
    </row>
    <row r="61" spans="1:30" s="127" customFormat="1" ht="13.2" x14ac:dyDescent="0.25">
      <c r="A61" s="125"/>
      <c r="B61" s="2" t="s">
        <v>50</v>
      </c>
      <c r="C61" s="120"/>
      <c r="D61" s="107">
        <v>592504.69999999995</v>
      </c>
      <c r="E61" s="65"/>
      <c r="F61" s="65"/>
      <c r="G61" s="65"/>
      <c r="H61" s="64">
        <v>750000</v>
      </c>
      <c r="I61" s="107">
        <v>62500</v>
      </c>
      <c r="J61" s="64">
        <v>62500</v>
      </c>
      <c r="K61" s="64">
        <v>62500</v>
      </c>
      <c r="L61" s="65">
        <f t="shared" si="43"/>
        <v>187500</v>
      </c>
      <c r="M61" s="107">
        <v>62500</v>
      </c>
      <c r="N61" s="64">
        <v>62500</v>
      </c>
      <c r="O61" s="64">
        <v>62500</v>
      </c>
      <c r="P61" s="65">
        <f t="shared" si="60"/>
        <v>187500</v>
      </c>
      <c r="Q61" s="107">
        <v>62500</v>
      </c>
      <c r="R61" s="64">
        <v>62500</v>
      </c>
      <c r="S61" s="64">
        <v>62500</v>
      </c>
      <c r="T61" s="65">
        <f t="shared" si="61"/>
        <v>187500</v>
      </c>
      <c r="U61" s="107">
        <v>62500</v>
      </c>
      <c r="V61" s="64">
        <v>62500</v>
      </c>
      <c r="W61" s="64">
        <v>62500</v>
      </c>
      <c r="X61" s="65">
        <f t="shared" si="62"/>
        <v>187500</v>
      </c>
      <c r="Y61" s="121"/>
      <c r="Z61" s="122">
        <f t="shared" si="63"/>
        <v>750000</v>
      </c>
      <c r="AA61" s="126"/>
      <c r="AB61" s="126"/>
      <c r="AC61" s="126"/>
      <c r="AD61" s="126"/>
    </row>
    <row r="62" spans="1:30" ht="13.2" x14ac:dyDescent="0.25">
      <c r="A62" s="46"/>
      <c r="B62" s="2" t="s">
        <v>51</v>
      </c>
      <c r="C62" s="120"/>
      <c r="D62" s="107">
        <v>11600</v>
      </c>
      <c r="E62" s="65"/>
      <c r="F62" s="65"/>
      <c r="G62" s="65"/>
      <c r="H62" s="64">
        <f>'[11]Year 14'!$G$74</f>
        <v>33000</v>
      </c>
      <c r="I62" s="107">
        <v>5000</v>
      </c>
      <c r="J62" s="64">
        <v>8500</v>
      </c>
      <c r="K62" s="64">
        <v>250</v>
      </c>
      <c r="L62" s="65">
        <f t="shared" si="43"/>
        <v>13750</v>
      </c>
      <c r="M62" s="64">
        <v>750</v>
      </c>
      <c r="N62" s="64">
        <v>1000</v>
      </c>
      <c r="O62" s="64">
        <v>3500</v>
      </c>
      <c r="P62" s="65">
        <f t="shared" si="60"/>
        <v>5250</v>
      </c>
      <c r="Q62" s="64">
        <v>3500</v>
      </c>
      <c r="R62" s="64">
        <v>3000</v>
      </c>
      <c r="S62" s="64">
        <v>4500</v>
      </c>
      <c r="T62" s="65">
        <f t="shared" si="61"/>
        <v>11000</v>
      </c>
      <c r="U62" s="64">
        <v>500</v>
      </c>
      <c r="V62" s="64">
        <v>1500</v>
      </c>
      <c r="W62" s="64">
        <v>1000</v>
      </c>
      <c r="X62" s="65">
        <f t="shared" si="62"/>
        <v>3000</v>
      </c>
      <c r="Y62" s="121"/>
      <c r="Z62" s="122">
        <f t="shared" si="63"/>
        <v>33000</v>
      </c>
      <c r="AA62" s="47"/>
      <c r="AB62" s="47"/>
      <c r="AC62" s="47"/>
      <c r="AD62" s="47"/>
    </row>
    <row r="63" spans="1:30" ht="13.2" x14ac:dyDescent="0.25">
      <c r="A63" s="46"/>
      <c r="B63" s="2" t="s">
        <v>52</v>
      </c>
      <c r="C63" s="120"/>
      <c r="D63" s="107">
        <v>9000</v>
      </c>
      <c r="E63" s="65"/>
      <c r="F63" s="65"/>
      <c r="G63" s="65"/>
      <c r="H63" s="64">
        <f>'[11]Year 14'!$G$75</f>
        <v>9000</v>
      </c>
      <c r="I63" s="107">
        <v>1500</v>
      </c>
      <c r="J63" s="64">
        <v>1500</v>
      </c>
      <c r="K63" s="64">
        <v>250</v>
      </c>
      <c r="L63" s="65">
        <f t="shared" si="43"/>
        <v>3250</v>
      </c>
      <c r="M63" s="64">
        <v>750</v>
      </c>
      <c r="N63" s="64">
        <v>250</v>
      </c>
      <c r="O63" s="64">
        <v>250</v>
      </c>
      <c r="P63" s="65">
        <f t="shared" si="60"/>
        <v>1250</v>
      </c>
      <c r="Q63" s="64">
        <v>2500</v>
      </c>
      <c r="R63" s="64">
        <v>250</v>
      </c>
      <c r="S63" s="64">
        <v>250</v>
      </c>
      <c r="T63" s="65">
        <f t="shared" si="61"/>
        <v>3000</v>
      </c>
      <c r="U63" s="64">
        <v>250</v>
      </c>
      <c r="V63" s="64">
        <v>250</v>
      </c>
      <c r="W63" s="64">
        <v>1000</v>
      </c>
      <c r="X63" s="65">
        <f t="shared" si="62"/>
        <v>1500</v>
      </c>
      <c r="Y63" s="121"/>
      <c r="Z63" s="122">
        <f t="shared" si="63"/>
        <v>9000</v>
      </c>
      <c r="AA63" s="47"/>
      <c r="AB63" s="47"/>
      <c r="AC63" s="47"/>
      <c r="AD63" s="47"/>
    </row>
    <row r="64" spans="1:30" ht="13.2" x14ac:dyDescent="0.25">
      <c r="A64" s="46"/>
      <c r="B64" s="2" t="s">
        <v>195</v>
      </c>
      <c r="C64" s="120"/>
      <c r="D64" s="107"/>
      <c r="E64" s="65"/>
      <c r="F64" s="65"/>
      <c r="G64" s="65"/>
      <c r="H64" s="107">
        <f>'[11]Year 14'!$G$77</f>
        <v>160000</v>
      </c>
      <c r="I64" s="107">
        <v>25000</v>
      </c>
      <c r="J64" s="107">
        <v>25000</v>
      </c>
      <c r="K64" s="107">
        <v>11000</v>
      </c>
      <c r="L64" s="65">
        <f t="shared" si="43"/>
        <v>61000</v>
      </c>
      <c r="M64" s="107">
        <v>11000</v>
      </c>
      <c r="N64" s="107">
        <v>11000</v>
      </c>
      <c r="O64" s="107">
        <v>11000</v>
      </c>
      <c r="P64" s="65">
        <f t="shared" si="60"/>
        <v>33000</v>
      </c>
      <c r="Q64" s="107">
        <v>11000</v>
      </c>
      <c r="R64" s="107">
        <v>11000</v>
      </c>
      <c r="S64" s="107">
        <v>11000</v>
      </c>
      <c r="T64" s="65">
        <f t="shared" si="61"/>
        <v>33000</v>
      </c>
      <c r="U64" s="107">
        <v>11000</v>
      </c>
      <c r="V64" s="107">
        <v>11000</v>
      </c>
      <c r="W64" s="107">
        <v>11000</v>
      </c>
      <c r="X64" s="65">
        <f t="shared" ref="X64" si="64">SUM(U64:W64)</f>
        <v>33000</v>
      </c>
      <c r="Y64" s="121"/>
      <c r="Z64" s="122">
        <f t="shared" ref="Z64" si="65">SUM(L64,P64,T64,X64)</f>
        <v>160000</v>
      </c>
      <c r="AA64" s="47"/>
      <c r="AB64" s="47"/>
      <c r="AC64" s="47"/>
      <c r="AD64" s="47"/>
    </row>
    <row r="65" spans="1:30" s="127" customFormat="1" ht="13.2" x14ac:dyDescent="0.25">
      <c r="A65" s="125"/>
      <c r="B65" s="2" t="s">
        <v>53</v>
      </c>
      <c r="C65" s="120"/>
      <c r="D65" s="107">
        <f>22000+30000</f>
        <v>52000</v>
      </c>
      <c r="E65" s="65"/>
      <c r="F65" s="65"/>
      <c r="G65" s="65"/>
      <c r="H65" s="64">
        <v>25000</v>
      </c>
      <c r="I65" s="107"/>
      <c r="J65" s="64">
        <v>0</v>
      </c>
      <c r="K65" s="64">
        <v>2500</v>
      </c>
      <c r="L65" s="65">
        <f t="shared" si="43"/>
        <v>2500</v>
      </c>
      <c r="M65" s="64">
        <v>2500</v>
      </c>
      <c r="N65" s="64">
        <v>2500</v>
      </c>
      <c r="O65" s="64">
        <v>2500</v>
      </c>
      <c r="P65" s="65">
        <f t="shared" si="60"/>
        <v>7500</v>
      </c>
      <c r="Q65" s="64">
        <v>2500</v>
      </c>
      <c r="R65" s="64">
        <v>2500</v>
      </c>
      <c r="S65" s="64">
        <v>2500</v>
      </c>
      <c r="T65" s="65">
        <f t="shared" si="61"/>
        <v>7500</v>
      </c>
      <c r="U65" s="64">
        <v>2500</v>
      </c>
      <c r="V65" s="64">
        <v>2500</v>
      </c>
      <c r="W65" s="64">
        <v>2500</v>
      </c>
      <c r="X65" s="65">
        <f t="shared" si="62"/>
        <v>7500</v>
      </c>
      <c r="Y65" s="121"/>
      <c r="Z65" s="123">
        <f t="shared" si="63"/>
        <v>25000</v>
      </c>
      <c r="AA65" s="126"/>
      <c r="AB65" s="126"/>
      <c r="AC65" s="126"/>
      <c r="AD65" s="126"/>
    </row>
    <row r="66" spans="1:30" ht="13.2" x14ac:dyDescent="0.25">
      <c r="A66" s="46"/>
      <c r="B66" s="55" t="s">
        <v>54</v>
      </c>
      <c r="C66" s="120"/>
      <c r="D66" s="56">
        <f>SUM(D58:D65)</f>
        <v>980186.0199999999</v>
      </c>
      <c r="E66" s="57"/>
      <c r="F66" s="57"/>
      <c r="G66" s="57"/>
      <c r="H66" s="111">
        <f>SUM(H58:H65)</f>
        <v>1337650.8799999999</v>
      </c>
      <c r="I66" s="111">
        <f>SUM(I58:I65)</f>
        <v>127970</v>
      </c>
      <c r="J66" s="111">
        <f t="shared" ref="J66:K66" si="66">SUM(J58:J65)</f>
        <v>135470</v>
      </c>
      <c r="K66" s="111">
        <f t="shared" si="66"/>
        <v>99970</v>
      </c>
      <c r="L66" s="65">
        <f t="shared" si="43"/>
        <v>363410</v>
      </c>
      <c r="M66" s="111">
        <f>SUM(M58:M65)</f>
        <v>100970</v>
      </c>
      <c r="N66" s="111">
        <f t="shared" ref="N66:O66" si="67">SUM(N58:N65)</f>
        <v>100720</v>
      </c>
      <c r="O66" s="111">
        <f t="shared" si="67"/>
        <v>106720</v>
      </c>
      <c r="P66" s="111">
        <f t="shared" si="60"/>
        <v>308410</v>
      </c>
      <c r="Q66" s="111">
        <f>SUM(Q58:Q65)</f>
        <v>136970</v>
      </c>
      <c r="R66" s="111">
        <f t="shared" ref="R66:S66" si="68">SUM(R58:R65)</f>
        <v>102720</v>
      </c>
      <c r="S66" s="111">
        <f t="shared" si="68"/>
        <v>108220</v>
      </c>
      <c r="T66" s="111">
        <f t="shared" si="61"/>
        <v>347910</v>
      </c>
      <c r="U66" s="111">
        <f>SUM(U58:U65)</f>
        <v>111220</v>
      </c>
      <c r="V66" s="111">
        <f t="shared" ref="V66:W66" si="69">SUM(V58:V65)</f>
        <v>103220</v>
      </c>
      <c r="W66" s="111">
        <f t="shared" si="69"/>
        <v>103481</v>
      </c>
      <c r="X66" s="111">
        <f t="shared" si="62"/>
        <v>317921</v>
      </c>
      <c r="Y66" s="121"/>
      <c r="Z66" s="122">
        <f t="shared" si="63"/>
        <v>1337651</v>
      </c>
      <c r="AA66" s="47"/>
      <c r="AB66" s="47"/>
      <c r="AC66" s="47"/>
      <c r="AD66" s="47"/>
    </row>
    <row r="67" spans="1:30" ht="13.2" x14ac:dyDescent="0.25">
      <c r="A67" s="46"/>
      <c r="B67" s="52"/>
      <c r="C67" s="120"/>
      <c r="D67" s="60"/>
      <c r="E67" s="60"/>
      <c r="F67" s="60"/>
      <c r="G67" s="60"/>
      <c r="H67" s="114"/>
      <c r="I67" s="114"/>
      <c r="J67" s="114"/>
      <c r="K67" s="114"/>
      <c r="L67" s="65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21"/>
      <c r="Z67" s="122"/>
      <c r="AA67" s="47"/>
      <c r="AB67" s="47"/>
      <c r="AC67" s="47"/>
      <c r="AD67" s="47"/>
    </row>
    <row r="68" spans="1:30" ht="13.8" x14ac:dyDescent="0.3">
      <c r="A68" s="67" t="s">
        <v>55</v>
      </c>
      <c r="B68" s="2"/>
      <c r="C68" s="120"/>
      <c r="D68" s="66"/>
      <c r="E68" s="65"/>
      <c r="F68" s="65"/>
      <c r="G68" s="65"/>
      <c r="H68" s="66"/>
      <c r="I68" s="66"/>
      <c r="J68" s="66"/>
      <c r="K68" s="66"/>
      <c r="L68" s="65"/>
      <c r="M68" s="66"/>
      <c r="N68" s="66"/>
      <c r="O68" s="66"/>
      <c r="P68" s="65"/>
      <c r="Q68" s="66"/>
      <c r="R68" s="66"/>
      <c r="S68" s="66"/>
      <c r="T68" s="65"/>
      <c r="U68" s="66"/>
      <c r="V68" s="66"/>
      <c r="W68" s="66"/>
      <c r="X68" s="65"/>
      <c r="Y68" s="121"/>
      <c r="Z68" s="122"/>
      <c r="AA68" s="47"/>
      <c r="AB68" s="47"/>
      <c r="AC68" s="47"/>
      <c r="AD68" s="47"/>
    </row>
    <row r="69" spans="1:30" ht="13.2" x14ac:dyDescent="0.25">
      <c r="A69" s="46"/>
      <c r="B69" s="2" t="s">
        <v>56</v>
      </c>
      <c r="C69" s="120"/>
      <c r="D69" s="107">
        <v>75990</v>
      </c>
      <c r="E69" s="65"/>
      <c r="F69" s="65"/>
      <c r="G69" s="65"/>
      <c r="H69" s="64">
        <v>123589</v>
      </c>
      <c r="I69" s="107">
        <f>+H69/12</f>
        <v>10299.083333333334</v>
      </c>
      <c r="J69" s="64">
        <v>10299</v>
      </c>
      <c r="K69" s="64">
        <v>10300</v>
      </c>
      <c r="L69" s="65">
        <f t="shared" si="43"/>
        <v>30898.083333333336</v>
      </c>
      <c r="M69" s="107">
        <v>10299</v>
      </c>
      <c r="N69" s="64">
        <v>10299</v>
      </c>
      <c r="O69" s="64">
        <v>10299</v>
      </c>
      <c r="P69" s="65">
        <f t="shared" ref="P69:P76" si="70">SUM(M69:O69)</f>
        <v>30897</v>
      </c>
      <c r="Q69" s="107">
        <v>10299</v>
      </c>
      <c r="R69" s="64">
        <v>10299</v>
      </c>
      <c r="S69" s="64">
        <v>10299</v>
      </c>
      <c r="T69" s="65">
        <f t="shared" ref="T69:T76" si="71">SUM(Q69:S69)</f>
        <v>30897</v>
      </c>
      <c r="U69" s="107">
        <v>10299</v>
      </c>
      <c r="V69" s="64">
        <v>10299</v>
      </c>
      <c r="W69" s="64">
        <v>10299</v>
      </c>
      <c r="X69" s="65">
        <f t="shared" ref="X69:X76" si="72">SUM(U69:W69)</f>
        <v>30897</v>
      </c>
      <c r="Y69" s="121"/>
      <c r="Z69" s="122">
        <f t="shared" ref="Z69:Z78" si="73">SUM(L69,P69,T69,X69)</f>
        <v>123589.08333333334</v>
      </c>
      <c r="AA69" s="47"/>
      <c r="AB69" s="47"/>
      <c r="AC69" s="47"/>
      <c r="AD69" s="47"/>
    </row>
    <row r="70" spans="1:30" ht="13.2" x14ac:dyDescent="0.25">
      <c r="A70" s="46"/>
      <c r="B70" s="2" t="s">
        <v>57</v>
      </c>
      <c r="C70" s="120"/>
      <c r="D70" s="107">
        <v>0</v>
      </c>
      <c r="E70" s="65"/>
      <c r="F70" s="65"/>
      <c r="G70" s="65"/>
      <c r="H70" s="64">
        <v>25000</v>
      </c>
      <c r="I70" s="107">
        <v>2083</v>
      </c>
      <c r="J70" s="64">
        <v>2083</v>
      </c>
      <c r="K70" s="64">
        <v>2083</v>
      </c>
      <c r="L70" s="65">
        <f t="shared" si="43"/>
        <v>6249</v>
      </c>
      <c r="M70" s="107">
        <v>2083</v>
      </c>
      <c r="N70" s="64">
        <v>2083</v>
      </c>
      <c r="O70" s="64">
        <v>2083</v>
      </c>
      <c r="P70" s="65">
        <f t="shared" si="70"/>
        <v>6249</v>
      </c>
      <c r="Q70" s="107">
        <v>2083</v>
      </c>
      <c r="R70" s="64">
        <v>2083</v>
      </c>
      <c r="S70" s="64">
        <v>2083</v>
      </c>
      <c r="T70" s="65">
        <f t="shared" si="71"/>
        <v>6249</v>
      </c>
      <c r="U70" s="107">
        <v>2083</v>
      </c>
      <c r="V70" s="64">
        <v>2083</v>
      </c>
      <c r="W70" s="64">
        <v>2087</v>
      </c>
      <c r="X70" s="65">
        <f t="shared" si="72"/>
        <v>6253</v>
      </c>
      <c r="Y70" s="121"/>
      <c r="Z70" s="122">
        <f t="shared" si="73"/>
        <v>25000</v>
      </c>
      <c r="AA70" s="47"/>
      <c r="AB70" s="47"/>
      <c r="AC70" s="47"/>
      <c r="AD70" s="47"/>
    </row>
    <row r="71" spans="1:30" s="127" customFormat="1" ht="13.2" x14ac:dyDescent="0.25">
      <c r="A71" s="125"/>
      <c r="B71" s="2" t="s">
        <v>58</v>
      </c>
      <c r="C71" s="120"/>
      <c r="D71" s="107">
        <v>388000</v>
      </c>
      <c r="E71" s="65"/>
      <c r="F71" s="65"/>
      <c r="G71" s="65"/>
      <c r="H71" s="107">
        <f>67000*10</f>
        <v>670000</v>
      </c>
      <c r="I71" s="107"/>
      <c r="J71" s="107"/>
      <c r="K71" s="107">
        <f>H71/10</f>
        <v>67000</v>
      </c>
      <c r="L71" s="65">
        <f>SUM(I71:K71)</f>
        <v>67000</v>
      </c>
      <c r="M71" s="107">
        <v>67000</v>
      </c>
      <c r="N71" s="107">
        <v>67000</v>
      </c>
      <c r="O71" s="107">
        <v>67000</v>
      </c>
      <c r="P71" s="65">
        <f>SUM(M71:O71)</f>
        <v>201000</v>
      </c>
      <c r="Q71" s="107">
        <v>67000</v>
      </c>
      <c r="R71" s="107">
        <v>67000</v>
      </c>
      <c r="S71" s="107">
        <v>67000</v>
      </c>
      <c r="T71" s="65">
        <f>SUM(Q71:S71)</f>
        <v>201000</v>
      </c>
      <c r="U71" s="107">
        <v>67000</v>
      </c>
      <c r="V71" s="107">
        <v>67000</v>
      </c>
      <c r="W71" s="107">
        <v>67000</v>
      </c>
      <c r="X71" s="65">
        <f>SUM(U71:W71)</f>
        <v>201000</v>
      </c>
      <c r="Y71" s="121"/>
      <c r="Z71" s="122">
        <f>SUM(L71,P71,T71,X71)</f>
        <v>670000</v>
      </c>
      <c r="AA71" s="126"/>
      <c r="AB71" s="126"/>
      <c r="AC71" s="126"/>
      <c r="AD71" s="126"/>
    </row>
    <row r="72" spans="1:30" ht="13.2" x14ac:dyDescent="0.25">
      <c r="A72" s="46"/>
      <c r="B72" s="2" t="s">
        <v>59</v>
      </c>
      <c r="C72" s="120"/>
      <c r="D72" s="107">
        <v>178401.37</v>
      </c>
      <c r="E72" s="65"/>
      <c r="F72" s="65"/>
      <c r="G72" s="65"/>
      <c r="H72" s="64">
        <f>'[11]Year 14'!$G$87</f>
        <v>198815.2464</v>
      </c>
      <c r="I72" s="107"/>
      <c r="J72" s="64"/>
      <c r="K72" s="64">
        <f>H72/4</f>
        <v>49703.811600000001</v>
      </c>
      <c r="L72" s="65">
        <f t="shared" si="43"/>
        <v>49703.811600000001</v>
      </c>
      <c r="M72" s="64"/>
      <c r="N72" s="64"/>
      <c r="O72" s="64">
        <v>49704</v>
      </c>
      <c r="P72" s="65">
        <f t="shared" si="70"/>
        <v>49704</v>
      </c>
      <c r="Q72" s="64"/>
      <c r="R72" s="64"/>
      <c r="S72" s="64">
        <v>49703</v>
      </c>
      <c r="T72" s="65">
        <f t="shared" si="71"/>
        <v>49703</v>
      </c>
      <c r="U72" s="64"/>
      <c r="V72" s="64"/>
      <c r="W72" s="64">
        <v>49704</v>
      </c>
      <c r="X72" s="65">
        <f t="shared" si="72"/>
        <v>49704</v>
      </c>
      <c r="Y72" s="121"/>
      <c r="Z72" s="122">
        <f t="shared" si="73"/>
        <v>198814.81160000002</v>
      </c>
      <c r="AA72" s="47"/>
      <c r="AB72" s="47"/>
      <c r="AC72" s="47"/>
      <c r="AD72" s="47"/>
    </row>
    <row r="73" spans="1:30" ht="13.2" x14ac:dyDescent="0.25">
      <c r="A73" s="46"/>
      <c r="B73" s="2" t="s">
        <v>60</v>
      </c>
      <c r="C73" s="120"/>
      <c r="D73" s="107">
        <v>0</v>
      </c>
      <c r="E73" s="65"/>
      <c r="F73" s="65"/>
      <c r="G73" s="65"/>
      <c r="H73" s="64"/>
      <c r="I73" s="107"/>
      <c r="J73" s="64"/>
      <c r="K73" s="64"/>
      <c r="L73" s="65">
        <f t="shared" si="43"/>
        <v>0</v>
      </c>
      <c r="M73" s="64"/>
      <c r="N73" s="64"/>
      <c r="O73" s="64"/>
      <c r="P73" s="65">
        <f t="shared" si="70"/>
        <v>0</v>
      </c>
      <c r="Q73" s="64"/>
      <c r="R73" s="64"/>
      <c r="S73" s="64"/>
      <c r="T73" s="65">
        <f t="shared" si="71"/>
        <v>0</v>
      </c>
      <c r="U73" s="64"/>
      <c r="V73" s="64"/>
      <c r="W73" s="64"/>
      <c r="X73" s="65">
        <f t="shared" si="72"/>
        <v>0</v>
      </c>
      <c r="Y73" s="121"/>
      <c r="Z73" s="122">
        <f t="shared" si="73"/>
        <v>0</v>
      </c>
      <c r="AA73" s="47"/>
      <c r="AB73" s="47"/>
      <c r="AC73" s="47"/>
      <c r="AD73" s="47"/>
    </row>
    <row r="74" spans="1:30" s="127" customFormat="1" ht="13.2" x14ac:dyDescent="0.25">
      <c r="A74" s="125"/>
      <c r="B74" s="2" t="s">
        <v>68</v>
      </c>
      <c r="C74" s="120"/>
      <c r="D74" s="107">
        <v>490449.67</v>
      </c>
      <c r="E74" s="65"/>
      <c r="F74" s="65"/>
      <c r="G74" s="65"/>
      <c r="H74" s="64">
        <v>495000</v>
      </c>
      <c r="I74" s="107">
        <f>+$H$74/12</f>
        <v>41250</v>
      </c>
      <c r="J74" s="107">
        <f t="shared" ref="J74:K74" si="74">+$H$74/12</f>
        <v>41250</v>
      </c>
      <c r="K74" s="107">
        <f t="shared" si="74"/>
        <v>41250</v>
      </c>
      <c r="L74" s="65">
        <f t="shared" si="43"/>
        <v>123750</v>
      </c>
      <c r="M74" s="107">
        <f t="shared" ref="M74:O74" si="75">+$H$74/12</f>
        <v>41250</v>
      </c>
      <c r="N74" s="107">
        <f t="shared" si="75"/>
        <v>41250</v>
      </c>
      <c r="O74" s="107">
        <f t="shared" si="75"/>
        <v>41250</v>
      </c>
      <c r="P74" s="65">
        <f t="shared" si="70"/>
        <v>123750</v>
      </c>
      <c r="Q74" s="107">
        <f t="shared" ref="Q74:S74" si="76">+$H$74/12</f>
        <v>41250</v>
      </c>
      <c r="R74" s="107">
        <f t="shared" si="76"/>
        <v>41250</v>
      </c>
      <c r="S74" s="107">
        <f t="shared" si="76"/>
        <v>41250</v>
      </c>
      <c r="T74" s="65">
        <f t="shared" si="71"/>
        <v>123750</v>
      </c>
      <c r="U74" s="107">
        <f t="shared" ref="U74:W74" si="77">+$H$74/12</f>
        <v>41250</v>
      </c>
      <c r="V74" s="107">
        <f t="shared" si="77"/>
        <v>41250</v>
      </c>
      <c r="W74" s="107">
        <f t="shared" si="77"/>
        <v>41250</v>
      </c>
      <c r="X74" s="65">
        <f t="shared" si="72"/>
        <v>123750</v>
      </c>
      <c r="Y74" s="121"/>
      <c r="Z74" s="122">
        <f t="shared" si="73"/>
        <v>495000</v>
      </c>
      <c r="AA74" s="126"/>
      <c r="AB74" s="126"/>
      <c r="AC74" s="126"/>
      <c r="AD74" s="126"/>
    </row>
    <row r="75" spans="1:30" s="119" customFormat="1" ht="13.2" x14ac:dyDescent="0.25">
      <c r="A75" s="117"/>
      <c r="B75" s="2" t="s">
        <v>61</v>
      </c>
      <c r="C75" s="120"/>
      <c r="D75" s="107">
        <f>93366+81700+193053.21+323.4+3000</f>
        <v>371442.61</v>
      </c>
      <c r="E75" s="65"/>
      <c r="F75" s="65"/>
      <c r="G75" s="65"/>
      <c r="H75" s="64">
        <v>125000</v>
      </c>
      <c r="I75" s="107">
        <v>10417</v>
      </c>
      <c r="J75" s="107">
        <v>10417</v>
      </c>
      <c r="K75" s="107">
        <v>10417</v>
      </c>
      <c r="L75" s="65">
        <f t="shared" si="43"/>
        <v>31251</v>
      </c>
      <c r="M75" s="107">
        <v>10417</v>
      </c>
      <c r="N75" s="107">
        <v>10417</v>
      </c>
      <c r="O75" s="107">
        <v>10417</v>
      </c>
      <c r="P75" s="65">
        <f t="shared" si="70"/>
        <v>31251</v>
      </c>
      <c r="Q75" s="107">
        <v>10417</v>
      </c>
      <c r="R75" s="107">
        <v>10417</v>
      </c>
      <c r="S75" s="107">
        <v>10417</v>
      </c>
      <c r="T75" s="65">
        <f t="shared" si="71"/>
        <v>31251</v>
      </c>
      <c r="U75" s="107">
        <v>10417</v>
      </c>
      <c r="V75" s="107">
        <v>10417</v>
      </c>
      <c r="W75" s="107">
        <v>10413</v>
      </c>
      <c r="X75" s="65">
        <f t="shared" si="72"/>
        <v>31247</v>
      </c>
      <c r="Y75" s="121"/>
      <c r="Z75" s="123">
        <f t="shared" si="73"/>
        <v>125000</v>
      </c>
      <c r="AA75" s="118"/>
      <c r="AB75" s="118"/>
      <c r="AC75" s="118"/>
      <c r="AD75" s="118"/>
    </row>
    <row r="76" spans="1:30" ht="13.2" x14ac:dyDescent="0.25">
      <c r="A76" s="46"/>
      <c r="B76" s="55" t="s">
        <v>62</v>
      </c>
      <c r="C76" s="120"/>
      <c r="D76" s="69">
        <f>SUM(D69:D75)</f>
        <v>1504283.65</v>
      </c>
      <c r="E76" s="57"/>
      <c r="F76" s="57"/>
      <c r="G76" s="57"/>
      <c r="H76" s="115">
        <f>SUM(H69:H75)</f>
        <v>1637404.2464000001</v>
      </c>
      <c r="I76" s="115">
        <f>SUM(I69:I75)</f>
        <v>64049.083333333336</v>
      </c>
      <c r="J76" s="115">
        <f>SUM(J69:J75)</f>
        <v>64049</v>
      </c>
      <c r="K76" s="115">
        <f>SUM(K69:K75)</f>
        <v>180753.81160000002</v>
      </c>
      <c r="L76" s="65">
        <f t="shared" si="43"/>
        <v>308851.89493333339</v>
      </c>
      <c r="M76" s="115">
        <f>SUM(M69:M75)</f>
        <v>131049</v>
      </c>
      <c r="N76" s="115">
        <f>SUM(N69:N75)</f>
        <v>131049</v>
      </c>
      <c r="O76" s="115">
        <f>SUM(O69:O75)</f>
        <v>180753</v>
      </c>
      <c r="P76" s="111">
        <f t="shared" si="70"/>
        <v>442851</v>
      </c>
      <c r="Q76" s="115">
        <f>SUM(Q69:Q75)</f>
        <v>131049</v>
      </c>
      <c r="R76" s="115">
        <f>SUM(R69:R75)</f>
        <v>131049</v>
      </c>
      <c r="S76" s="115">
        <f>SUM(S69:S75)</f>
        <v>180752</v>
      </c>
      <c r="T76" s="111">
        <f t="shared" si="71"/>
        <v>442850</v>
      </c>
      <c r="U76" s="115">
        <f>SUM(U69:U75)</f>
        <v>131049</v>
      </c>
      <c r="V76" s="115">
        <f>SUM(V69:V75)</f>
        <v>131049</v>
      </c>
      <c r="W76" s="115">
        <f>SUM(W69:W75)</f>
        <v>180753</v>
      </c>
      <c r="X76" s="111">
        <f t="shared" si="72"/>
        <v>442851</v>
      </c>
      <c r="Y76" s="121"/>
      <c r="Z76" s="123">
        <f t="shared" si="73"/>
        <v>1637403.8949333334</v>
      </c>
      <c r="AA76" s="47"/>
      <c r="AB76" s="47"/>
      <c r="AC76" s="47"/>
      <c r="AD76" s="47"/>
    </row>
    <row r="77" spans="1:30" ht="13.2" x14ac:dyDescent="0.25">
      <c r="A77" s="46"/>
      <c r="B77" s="55" t="s">
        <v>63</v>
      </c>
      <c r="C77" s="120"/>
      <c r="D77" s="56">
        <f>D76+D66+D55+D45+D33</f>
        <v>17504628.050000001</v>
      </c>
      <c r="E77" s="57"/>
      <c r="F77" s="57"/>
      <c r="G77" s="57"/>
      <c r="H77" s="111">
        <f>H76+H66+H55+H45+H33</f>
        <v>20551943.225200005</v>
      </c>
      <c r="I77" s="111">
        <f>I76+I66+I55+I45+I33</f>
        <v>1574682.3750000002</v>
      </c>
      <c r="J77" s="111">
        <f>J76+J66+J55+J45+J33</f>
        <v>1768082.3333333335</v>
      </c>
      <c r="K77" s="111">
        <f>K76+K66+K55+K45+K33</f>
        <v>1656938.1449333334</v>
      </c>
      <c r="L77" s="65">
        <f t="shared" si="43"/>
        <v>4999702.8532666676</v>
      </c>
      <c r="M77" s="111">
        <f t="shared" ref="M77:X77" si="78">M76+M66+M55+M45+M33</f>
        <v>1783758.3333333335</v>
      </c>
      <c r="N77" s="111">
        <f t="shared" si="78"/>
        <v>1673732.3333333335</v>
      </c>
      <c r="O77" s="111">
        <f t="shared" si="78"/>
        <v>1766936.3333333335</v>
      </c>
      <c r="P77" s="111">
        <f t="shared" si="78"/>
        <v>5224427</v>
      </c>
      <c r="Q77" s="111">
        <f t="shared" si="78"/>
        <v>1783232.3333333335</v>
      </c>
      <c r="R77" s="111">
        <f t="shared" si="78"/>
        <v>1657982.3333333335</v>
      </c>
      <c r="S77" s="111">
        <f t="shared" si="78"/>
        <v>1829012.3333333335</v>
      </c>
      <c r="T77" s="111">
        <f t="shared" si="78"/>
        <v>5270227</v>
      </c>
      <c r="U77" s="111">
        <f t="shared" si="78"/>
        <v>1681466.3333333335</v>
      </c>
      <c r="V77" s="111">
        <f t="shared" si="78"/>
        <v>1639232.3333333335</v>
      </c>
      <c r="W77" s="111">
        <f t="shared" si="78"/>
        <v>1736887.3333333335</v>
      </c>
      <c r="X77" s="124">
        <f t="shared" si="78"/>
        <v>5057586</v>
      </c>
      <c r="Y77" s="121"/>
      <c r="Z77" s="123">
        <f t="shared" si="73"/>
        <v>20551942.853266668</v>
      </c>
      <c r="AA77" s="47"/>
      <c r="AB77" s="47"/>
      <c r="AC77" s="47"/>
      <c r="AD77" s="47"/>
    </row>
    <row r="78" spans="1:30" ht="12.75" customHeight="1" x14ac:dyDescent="0.25">
      <c r="A78" s="58" t="s">
        <v>64</v>
      </c>
      <c r="B78" s="55"/>
      <c r="C78" s="120"/>
      <c r="D78" s="56">
        <f>D14-D77</f>
        <v>1751110.8399999999</v>
      </c>
      <c r="E78" s="57"/>
      <c r="F78" s="57"/>
      <c r="G78" s="57"/>
      <c r="H78" s="111">
        <f>H14-H77</f>
        <v>2376930.7747999951</v>
      </c>
      <c r="I78" s="111">
        <f>I14-I77</f>
        <v>326056.79166666651</v>
      </c>
      <c r="J78" s="111">
        <f>J14-J77+AE20</f>
        <v>132656.83333333326</v>
      </c>
      <c r="K78" s="111">
        <f>K14-K77</f>
        <v>255801.02173333336</v>
      </c>
      <c r="L78" s="65">
        <f t="shared" si="43"/>
        <v>714514.64673333312</v>
      </c>
      <c r="M78" s="111">
        <f t="shared" ref="M78:X78" si="79">M14-M77</f>
        <v>128980.83333333326</v>
      </c>
      <c r="N78" s="111">
        <f t="shared" si="79"/>
        <v>239006.83333333326</v>
      </c>
      <c r="O78" s="111">
        <f t="shared" si="79"/>
        <v>145802.83333333326</v>
      </c>
      <c r="P78" s="111">
        <f t="shared" si="79"/>
        <v>513790.5</v>
      </c>
      <c r="Q78" s="111">
        <f t="shared" si="79"/>
        <v>129506.83333333326</v>
      </c>
      <c r="R78" s="111">
        <f t="shared" si="79"/>
        <v>254756.83333333326</v>
      </c>
      <c r="S78" s="111">
        <f t="shared" si="79"/>
        <v>83726.833333333256</v>
      </c>
      <c r="T78" s="111">
        <f t="shared" si="79"/>
        <v>467990.5</v>
      </c>
      <c r="U78" s="111">
        <f t="shared" si="79"/>
        <v>231272.83333333326</v>
      </c>
      <c r="V78" s="111">
        <f t="shared" si="79"/>
        <v>273506.83333333326</v>
      </c>
      <c r="W78" s="111">
        <f t="shared" si="79"/>
        <v>175855.83333333326</v>
      </c>
      <c r="X78" s="111">
        <f t="shared" si="79"/>
        <v>680635.5</v>
      </c>
      <c r="Y78" s="121"/>
      <c r="Z78" s="122">
        <f t="shared" si="73"/>
        <v>2376931.1467333334</v>
      </c>
      <c r="AA78" s="47"/>
      <c r="AB78" s="47"/>
      <c r="AC78" s="47"/>
      <c r="AD78" s="47"/>
    </row>
    <row r="79" spans="1:30" ht="12.75" customHeight="1" x14ac:dyDescent="0.25">
      <c r="A79" s="58"/>
      <c r="B79" s="52"/>
      <c r="C79" s="120"/>
      <c r="D79" s="71"/>
      <c r="E79" s="57"/>
      <c r="F79" s="57"/>
      <c r="G79" s="57"/>
      <c r="H79" s="116"/>
      <c r="I79" s="116"/>
      <c r="J79" s="116"/>
      <c r="K79" s="116"/>
      <c r="L79" s="65">
        <f t="shared" si="43"/>
        <v>0</v>
      </c>
      <c r="M79" s="116"/>
      <c r="N79" s="116"/>
      <c r="O79" s="116"/>
      <c r="P79" s="114"/>
      <c r="Q79" s="116"/>
      <c r="R79" s="116"/>
      <c r="S79" s="116"/>
      <c r="T79" s="114"/>
      <c r="U79" s="116"/>
      <c r="V79" s="116"/>
      <c r="W79" s="116"/>
      <c r="X79" s="114"/>
      <c r="Y79" s="121"/>
      <c r="Z79" s="122"/>
      <c r="AA79" s="47"/>
      <c r="AB79" s="47"/>
      <c r="AC79" s="47"/>
      <c r="AD79" s="47"/>
    </row>
    <row r="80" spans="1:30" s="127" customFormat="1" ht="12.75" customHeight="1" x14ac:dyDescent="0.25">
      <c r="A80" s="125"/>
      <c r="B80" s="2" t="s">
        <v>65</v>
      </c>
      <c r="C80" s="120"/>
      <c r="D80" s="64">
        <v>819475</v>
      </c>
      <c r="E80" s="65"/>
      <c r="F80" s="65"/>
      <c r="G80" s="65"/>
      <c r="H80" s="64">
        <v>780000</v>
      </c>
      <c r="I80" s="107">
        <f>+$H$80/12</f>
        <v>65000</v>
      </c>
      <c r="J80" s="107">
        <f t="shared" ref="J80:K80" si="80">+$H$80/12</f>
        <v>65000</v>
      </c>
      <c r="K80" s="107">
        <f t="shared" si="80"/>
        <v>65000</v>
      </c>
      <c r="L80" s="65">
        <f t="shared" si="43"/>
        <v>195000</v>
      </c>
      <c r="M80" s="107">
        <f t="shared" ref="M80:O80" si="81">+$H$80/12</f>
        <v>65000</v>
      </c>
      <c r="N80" s="107">
        <f t="shared" si="81"/>
        <v>65000</v>
      </c>
      <c r="O80" s="107">
        <f t="shared" si="81"/>
        <v>65000</v>
      </c>
      <c r="P80" s="65">
        <f t="shared" ref="P80" si="82">SUM(M80:O80)</f>
        <v>195000</v>
      </c>
      <c r="Q80" s="107">
        <f t="shared" ref="Q80:S80" si="83">+$H$80/12</f>
        <v>65000</v>
      </c>
      <c r="R80" s="107">
        <f t="shared" si="83"/>
        <v>65000</v>
      </c>
      <c r="S80" s="107">
        <f t="shared" si="83"/>
        <v>65000</v>
      </c>
      <c r="T80" s="65">
        <f t="shared" ref="T80" si="84">SUM(Q80:S80)</f>
        <v>195000</v>
      </c>
      <c r="U80" s="107">
        <f t="shared" ref="U80:W80" si="85">+$H$80/12</f>
        <v>65000</v>
      </c>
      <c r="V80" s="107">
        <f t="shared" si="85"/>
        <v>65000</v>
      </c>
      <c r="W80" s="107">
        <f t="shared" si="85"/>
        <v>65000</v>
      </c>
      <c r="X80" s="65">
        <f t="shared" ref="X80" si="86">SUM(U80:W80)</f>
        <v>195000</v>
      </c>
      <c r="Y80" s="121"/>
      <c r="Z80" s="123">
        <f t="shared" ref="Z80:Z81" si="87">SUM(L80,P80,T80,X80)</f>
        <v>780000</v>
      </c>
      <c r="AA80" s="126"/>
      <c r="AB80" s="126"/>
      <c r="AC80" s="126"/>
      <c r="AD80" s="126"/>
    </row>
    <row r="81" spans="1:30" ht="13.2" x14ac:dyDescent="0.25">
      <c r="A81" s="58" t="s">
        <v>66</v>
      </c>
      <c r="B81" s="55"/>
      <c r="C81" s="120"/>
      <c r="D81" s="104">
        <f>D78-D80</f>
        <v>931635.83999999985</v>
      </c>
      <c r="E81" s="105"/>
      <c r="F81" s="105"/>
      <c r="G81" s="105"/>
      <c r="H81" s="111">
        <f t="shared" ref="H81:X81" si="88">H78-H80</f>
        <v>1596930.7747999951</v>
      </c>
      <c r="I81" s="111">
        <f t="shared" si="88"/>
        <v>261056.79166666651</v>
      </c>
      <c r="J81" s="111">
        <f t="shared" si="88"/>
        <v>67656.833333333256</v>
      </c>
      <c r="K81" s="111">
        <f t="shared" si="88"/>
        <v>190801.02173333336</v>
      </c>
      <c r="L81" s="65">
        <f t="shared" si="43"/>
        <v>519514.64673333312</v>
      </c>
      <c r="M81" s="111">
        <f t="shared" si="88"/>
        <v>63980.833333333256</v>
      </c>
      <c r="N81" s="111">
        <f t="shared" si="88"/>
        <v>174006.83333333326</v>
      </c>
      <c r="O81" s="111">
        <f t="shared" si="88"/>
        <v>80802.833333333256</v>
      </c>
      <c r="P81" s="111">
        <f t="shared" si="88"/>
        <v>318790.5</v>
      </c>
      <c r="Q81" s="111">
        <f t="shared" si="88"/>
        <v>64506.833333333256</v>
      </c>
      <c r="R81" s="111">
        <f t="shared" si="88"/>
        <v>189756.83333333326</v>
      </c>
      <c r="S81" s="111">
        <f t="shared" si="88"/>
        <v>18726.833333333256</v>
      </c>
      <c r="T81" s="111">
        <f t="shared" si="88"/>
        <v>272990.5</v>
      </c>
      <c r="U81" s="111">
        <f t="shared" si="88"/>
        <v>166272.83333333326</v>
      </c>
      <c r="V81" s="111">
        <f t="shared" si="88"/>
        <v>208506.83333333326</v>
      </c>
      <c r="W81" s="111">
        <f t="shared" si="88"/>
        <v>110855.83333333326</v>
      </c>
      <c r="X81" s="111">
        <f t="shared" si="88"/>
        <v>485635.5</v>
      </c>
      <c r="Y81" s="121"/>
      <c r="Z81" s="122">
        <f t="shared" si="87"/>
        <v>1596931.1467333331</v>
      </c>
      <c r="AA81" s="47"/>
      <c r="AB81" s="47"/>
      <c r="AC81" s="47"/>
      <c r="AD81" s="47"/>
    </row>
  </sheetData>
  <pageMargins left="0.75" right="0.35" top="0.5" bottom="0.5" header="0.5" footer="0.5"/>
  <pageSetup scale="28" orientation="portrait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F4" sqref="F4:U4"/>
    </sheetView>
  </sheetViews>
  <sheetFormatPr defaultColWidth="9.109375" defaultRowHeight="12.75" customHeight="1" x14ac:dyDescent="0.25"/>
  <cols>
    <col min="1" max="1" width="1.77734375" style="43" customWidth="1"/>
    <col min="2" max="2" width="30.44140625" style="43" customWidth="1"/>
    <col min="3" max="3" width="2.77734375" style="43" customWidth="1"/>
    <col min="4" max="4" width="10.6640625" style="43" customWidth="1"/>
    <col min="5" max="5" width="2.77734375" style="2" customWidth="1"/>
    <col min="6" max="21" width="10.6640625" style="43" customWidth="1"/>
    <col min="22" max="22" width="2.6640625" style="43" customWidth="1"/>
    <col min="23" max="25" width="9.6640625" style="43" bestFit="1" customWidth="1"/>
    <col min="26" max="16384" width="9.109375" style="43"/>
  </cols>
  <sheetData>
    <row r="1" spans="1:27" ht="12.75" customHeight="1" x14ac:dyDescent="0.25">
      <c r="A1" s="61" t="str">
        <f>'Cover Sheet'!A2</f>
        <v>Enter School Name: Eagle Academy PCS</v>
      </c>
    </row>
    <row r="2" spans="1:27" ht="13.2" x14ac:dyDescent="0.25">
      <c r="A2" s="43" t="str">
        <f>'Cover Sheet'!A8&amp;" "&amp;'Cover Sheet'!$A$9&amp;" Financials"</f>
        <v>Enter Fiscal Year: 2016-2017SY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6"/>
    </row>
    <row r="3" spans="1:27" ht="13.2" x14ac:dyDescent="0.2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7" ht="13.2" x14ac:dyDescent="0.25">
      <c r="A4" s="2"/>
      <c r="B4" s="2"/>
      <c r="C4" s="45"/>
      <c r="D4" s="48" t="s">
        <v>183</v>
      </c>
      <c r="E4" s="49"/>
      <c r="F4" s="48" t="s">
        <v>171</v>
      </c>
      <c r="G4" s="48" t="s">
        <v>172</v>
      </c>
      <c r="H4" s="48" t="s">
        <v>173</v>
      </c>
      <c r="I4" s="48" t="s">
        <v>113</v>
      </c>
      <c r="J4" s="48" t="s">
        <v>174</v>
      </c>
      <c r="K4" s="48" t="s">
        <v>175</v>
      </c>
      <c r="L4" s="48" t="s">
        <v>176</v>
      </c>
      <c r="M4" s="48" t="s">
        <v>114</v>
      </c>
      <c r="N4" s="48" t="s">
        <v>177</v>
      </c>
      <c r="O4" s="48" t="s">
        <v>178</v>
      </c>
      <c r="P4" s="48" t="s">
        <v>179</v>
      </c>
      <c r="Q4" s="48" t="s">
        <v>115</v>
      </c>
      <c r="R4" s="48" t="s">
        <v>180</v>
      </c>
      <c r="S4" s="48" t="s">
        <v>181</v>
      </c>
      <c r="T4" s="48" t="s">
        <v>182</v>
      </c>
      <c r="U4" s="48" t="s">
        <v>116</v>
      </c>
      <c r="V4" s="45"/>
      <c r="W4" s="77"/>
      <c r="X4" s="78" t="s">
        <v>0</v>
      </c>
      <c r="Y4" s="77"/>
    </row>
    <row r="5" spans="1:27" ht="13.2" x14ac:dyDescent="0.25">
      <c r="B5" s="2"/>
      <c r="C5" s="45"/>
      <c r="D5" s="50" t="s">
        <v>67</v>
      </c>
      <c r="E5" s="51"/>
      <c r="F5" s="50" t="s">
        <v>67</v>
      </c>
      <c r="G5" s="50" t="s">
        <v>67</v>
      </c>
      <c r="H5" s="50" t="s">
        <v>67</v>
      </c>
      <c r="I5" s="50" t="s">
        <v>67</v>
      </c>
      <c r="J5" s="50" t="s">
        <v>67</v>
      </c>
      <c r="K5" s="50" t="s">
        <v>67</v>
      </c>
      <c r="L5" s="50" t="s">
        <v>67</v>
      </c>
      <c r="M5" s="50" t="s">
        <v>67</v>
      </c>
      <c r="N5" s="50" t="s">
        <v>67</v>
      </c>
      <c r="O5" s="50" t="s">
        <v>67</v>
      </c>
      <c r="P5" s="50" t="s">
        <v>67</v>
      </c>
      <c r="Q5" s="50" t="s">
        <v>67</v>
      </c>
      <c r="R5" s="50" t="s">
        <v>67</v>
      </c>
      <c r="S5" s="50" t="s">
        <v>67</v>
      </c>
      <c r="T5" s="50" t="s">
        <v>67</v>
      </c>
      <c r="U5" s="50" t="s">
        <v>67</v>
      </c>
      <c r="V5" s="45"/>
      <c r="W5" s="50" t="s">
        <v>1</v>
      </c>
      <c r="X5" s="50" t="s">
        <v>2</v>
      </c>
      <c r="Y5" s="50" t="s">
        <v>3</v>
      </c>
    </row>
    <row r="6" spans="1:27" ht="13.2" x14ac:dyDescent="0.25">
      <c r="A6" s="52" t="s">
        <v>4</v>
      </c>
      <c r="B6" s="2"/>
      <c r="C6" s="45"/>
      <c r="V6" s="45"/>
      <c r="W6" s="51"/>
      <c r="X6" s="51"/>
      <c r="Y6" s="51"/>
    </row>
    <row r="7" spans="1:27" ht="13.2" x14ac:dyDescent="0.25">
      <c r="A7" s="46"/>
      <c r="B7" s="46" t="s">
        <v>5</v>
      </c>
      <c r="C7" s="45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5"/>
      <c r="W7" s="54">
        <f>SUM(I7,M7,Q7,U7)</f>
        <v>0</v>
      </c>
      <c r="X7" s="54">
        <f>IF('Cover Sheet'!$A$9=References!$A$3,'Annual Budget'!L7,IF('Cover Sheet'!$A$9=References!$A$4,SUM('Annual Budget'!L7,'Annual Budget'!T7),IF('Cover Sheet'!$A$9=References!$A$5,SUM('Annual Budget'!L7,'Annual Budget'!T7,'Annual Budget'!P7),SUM('Annual Budget'!L7,'Annual Budget'!T7,'Annual Budget'!P7,'Annual Budget'!X7))))</f>
        <v>11893727</v>
      </c>
      <c r="Y7" s="66">
        <f>W7-X7</f>
        <v>-11893727</v>
      </c>
      <c r="AA7" s="54">
        <f>IF('Cover Sheet'!$A$9=References!$A$3,'Annual Budget'!M7,IF('Cover Sheet'!$A$9=References!$A$4,SUM('Annual Budget'!M7,'Annual Budget'!Q7),IF('Cover Sheet'!$A$9=References!$A$5,SUM('Annual Budget'!M7,'Annual Budget'!Q7,'Annual Budget'!U7),SUM('Annual Budget'!M7,'Annual Budget'!Q7,'Annual Budget'!U7,'Annual Budget'!Y7))))</f>
        <v>2973431.75</v>
      </c>
    </row>
    <row r="8" spans="1:27" ht="13.2" x14ac:dyDescent="0.25">
      <c r="A8" s="46"/>
      <c r="B8" s="46" t="s">
        <v>7</v>
      </c>
      <c r="C8" s="45"/>
      <c r="D8" s="53"/>
      <c r="E8" s="54"/>
      <c r="F8" s="53"/>
      <c r="G8" s="53"/>
      <c r="H8" s="53"/>
      <c r="I8" s="54">
        <f t="shared" ref="I8:I14" si="0">SUM(F8:H8)</f>
        <v>0</v>
      </c>
      <c r="J8" s="53"/>
      <c r="K8" s="53"/>
      <c r="L8" s="53"/>
      <c r="M8" s="54">
        <f t="shared" ref="M8:M14" si="1">SUM(J8:L8)</f>
        <v>0</v>
      </c>
      <c r="N8" s="53"/>
      <c r="O8" s="53"/>
      <c r="P8" s="53"/>
      <c r="Q8" s="54">
        <f t="shared" ref="Q8:Q14" si="2">SUM(N8:P8)</f>
        <v>0</v>
      </c>
      <c r="R8" s="53"/>
      <c r="S8" s="53"/>
      <c r="T8" s="53"/>
      <c r="U8" s="54">
        <f t="shared" ref="U8:U14" si="3">SUM(R8:T8)</f>
        <v>0</v>
      </c>
      <c r="V8" s="45"/>
      <c r="W8" s="54">
        <f t="shared" ref="W8:W13" si="4">SUM(I8,M8,Q8,U8)</f>
        <v>0</v>
      </c>
      <c r="X8" s="66">
        <f>IF('Cover Sheet'!$A$9=References!$A$3,'Annual Budget'!L9,IF('Cover Sheet'!$A$9=References!$A$4,SUM('Annual Budget'!L9,'Annual Budget'!T9),IF('Cover Sheet'!$A$9=References!$A$5,SUM('Annual Budget'!L9,'Annual Budget'!T9,'Annual Budget'!P9),SUM('Annual Budget'!L9,'Annual Budget'!T9,'Annual Budget'!P9,'Annual Budget'!X9))))</f>
        <v>2874080</v>
      </c>
      <c r="Y8" s="66">
        <f t="shared" ref="Y8:Y14" si="5">W8-X8</f>
        <v>-2874080</v>
      </c>
    </row>
    <row r="9" spans="1:27" ht="13.2" x14ac:dyDescent="0.25">
      <c r="A9" s="46"/>
      <c r="B9" s="46" t="s">
        <v>8</v>
      </c>
      <c r="C9" s="45"/>
      <c r="D9" s="53"/>
      <c r="E9" s="54"/>
      <c r="F9" s="53"/>
      <c r="G9" s="53"/>
      <c r="H9" s="53"/>
      <c r="I9" s="54">
        <f t="shared" si="0"/>
        <v>0</v>
      </c>
      <c r="J9" s="53"/>
      <c r="K9" s="53"/>
      <c r="L9" s="53"/>
      <c r="M9" s="54">
        <f t="shared" si="1"/>
        <v>0</v>
      </c>
      <c r="N9" s="53"/>
      <c r="O9" s="53"/>
      <c r="P9" s="53"/>
      <c r="Q9" s="54">
        <f t="shared" si="2"/>
        <v>0</v>
      </c>
      <c r="R9" s="53"/>
      <c r="S9" s="53"/>
      <c r="T9" s="53"/>
      <c r="U9" s="54">
        <f t="shared" si="3"/>
        <v>0</v>
      </c>
      <c r="V9" s="45"/>
      <c r="W9" s="54">
        <f t="shared" si="4"/>
        <v>0</v>
      </c>
      <c r="X9" s="66">
        <f>IF('Cover Sheet'!$A$9=References!$A$3,'Annual Budget'!L10,IF('Cover Sheet'!$A$9=References!$A$4,SUM('Annual Budget'!L10,'Annual Budget'!T10),IF('Cover Sheet'!$A$9=References!$A$5,SUM('Annual Budget'!L10,'Annual Budget'!T10,'Annual Budget'!P10),SUM('Annual Budget'!L10,'Annual Budget'!T10,'Annual Budget'!P10,'Annual Budget'!X10))))</f>
        <v>486400</v>
      </c>
      <c r="Y9" s="66">
        <f t="shared" si="5"/>
        <v>-486400</v>
      </c>
    </row>
    <row r="10" spans="1:27" ht="13.2" x14ac:dyDescent="0.25">
      <c r="A10" s="46"/>
      <c r="B10" s="46" t="s">
        <v>9</v>
      </c>
      <c r="C10" s="45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5"/>
      <c r="W10" s="54">
        <f t="shared" si="4"/>
        <v>0</v>
      </c>
      <c r="X10" s="66">
        <f>IF('Cover Sheet'!$A$9=References!$A$3,'Annual Budget'!L12,IF('Cover Sheet'!$A$9=References!$A$4,SUM('Annual Budget'!L12,'Annual Budget'!T12),IF('Cover Sheet'!$A$9=References!$A$5,SUM('Annual Budget'!L12,'Annual Budget'!T12,'Annual Budget'!P12),SUM('Annual Budget'!L12,'Annual Budget'!T12,'Annual Budget'!P12,'Annual Budget'!X12))))</f>
        <v>4605533</v>
      </c>
      <c r="Y10" s="66">
        <f t="shared" si="5"/>
        <v>-4605533</v>
      </c>
    </row>
    <row r="11" spans="1:27" ht="13.2" x14ac:dyDescent="0.25">
      <c r="A11" s="46"/>
      <c r="B11" s="46" t="s">
        <v>10</v>
      </c>
      <c r="C11" s="45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5"/>
      <c r="W11" s="54">
        <f t="shared" si="4"/>
        <v>0</v>
      </c>
      <c r="X11" s="66" t="e">
        <f>IF('Cover Sheet'!$A$9=References!$A$3,'Annual Budget'!#REF!,IF('Cover Sheet'!$A$9=References!$A$4,SUM('Annual Budget'!#REF!,'Annual Budget'!#REF!),IF('Cover Sheet'!$A$9=References!$A$5,SUM('Annual Budget'!#REF!,'Annual Budget'!#REF!,'Annual Budget'!#REF!),SUM('Annual Budget'!#REF!,'Annual Budget'!#REF!,'Annual Budget'!#REF!,'Annual Budget'!#REF!))))</f>
        <v>#REF!</v>
      </c>
      <c r="Y11" s="66" t="e">
        <f t="shared" si="5"/>
        <v>#REF!</v>
      </c>
    </row>
    <row r="12" spans="1:27" ht="13.2" x14ac:dyDescent="0.25">
      <c r="A12" s="46"/>
      <c r="B12" s="46" t="s">
        <v>11</v>
      </c>
      <c r="C12" s="45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5"/>
      <c r="W12" s="54">
        <f t="shared" si="4"/>
        <v>0</v>
      </c>
      <c r="X12" s="66" t="e">
        <f>IF('Cover Sheet'!$A$9=References!$A$3,'Annual Budget'!#REF!,IF('Cover Sheet'!$A$9=References!$A$4,SUM('Annual Budget'!#REF!,'Annual Budget'!#REF!),IF('Cover Sheet'!$A$9=References!$A$5,SUM('Annual Budget'!#REF!,'Annual Budget'!#REF!,'Annual Budget'!#REF!),SUM('Annual Budget'!#REF!,'Annual Budget'!#REF!,'Annual Budget'!#REF!,'Annual Budget'!#REF!))))</f>
        <v>#REF!</v>
      </c>
      <c r="Y12" s="66" t="e">
        <f t="shared" si="5"/>
        <v>#REF!</v>
      </c>
    </row>
    <row r="13" spans="1:27" ht="13.2" x14ac:dyDescent="0.25">
      <c r="A13" s="46"/>
      <c r="B13" s="46" t="s">
        <v>12</v>
      </c>
      <c r="C13" s="45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5"/>
      <c r="W13" s="54">
        <f t="shared" si="4"/>
        <v>0</v>
      </c>
      <c r="X13" s="66">
        <f>IF('Cover Sheet'!$A$9=References!$A$3,'Annual Budget'!L13,IF('Cover Sheet'!$A$9=References!$A$4,SUM('Annual Budget'!L13,'Annual Budget'!T13),IF('Cover Sheet'!$A$9=References!$A$5,SUM('Annual Budget'!L13,'Annual Budget'!T13,'Annual Budget'!P13),SUM('Annual Budget'!L13,'Annual Budget'!T13,'Annual Budget'!P13,'Annual Budget'!X13))))</f>
        <v>120000</v>
      </c>
      <c r="Y13" s="66">
        <f t="shared" si="5"/>
        <v>-120000</v>
      </c>
    </row>
    <row r="14" spans="1:27" ht="13.2" x14ac:dyDescent="0.25">
      <c r="A14" s="46"/>
      <c r="B14" s="55" t="s">
        <v>13</v>
      </c>
      <c r="C14" s="45"/>
      <c r="D14" s="56">
        <f>SUM(D7:D13)</f>
        <v>0</v>
      </c>
      <c r="E14" s="57"/>
      <c r="F14" s="56">
        <f>SUM(F7:F13)</f>
        <v>0</v>
      </c>
      <c r="G14" s="56">
        <f>SUM(G7:G13)</f>
        <v>0</v>
      </c>
      <c r="H14" s="56">
        <f>SUM(H7:H13)</f>
        <v>0</v>
      </c>
      <c r="I14" s="56">
        <f t="shared" si="0"/>
        <v>0</v>
      </c>
      <c r="J14" s="56">
        <f>SUM(J7:J13)</f>
        <v>0</v>
      </c>
      <c r="K14" s="56">
        <f>SUM(K7:K13)</f>
        <v>0</v>
      </c>
      <c r="L14" s="56">
        <f>SUM(L7:L13)</f>
        <v>0</v>
      </c>
      <c r="M14" s="56">
        <f t="shared" si="1"/>
        <v>0</v>
      </c>
      <c r="N14" s="56">
        <f>SUM(N7:N13)</f>
        <v>0</v>
      </c>
      <c r="O14" s="56">
        <f>SUM(O7:O13)</f>
        <v>0</v>
      </c>
      <c r="P14" s="56">
        <f>SUM(P7:P13)</f>
        <v>0</v>
      </c>
      <c r="Q14" s="56">
        <f t="shared" si="2"/>
        <v>0</v>
      </c>
      <c r="R14" s="56">
        <f>SUM(R7:R13)</f>
        <v>0</v>
      </c>
      <c r="S14" s="56">
        <f>SUM(S7:S13)</f>
        <v>0</v>
      </c>
      <c r="T14" s="56">
        <f>SUM(T7:T13)</f>
        <v>0</v>
      </c>
      <c r="U14" s="56">
        <f t="shared" si="3"/>
        <v>0</v>
      </c>
      <c r="V14" s="45"/>
      <c r="W14" s="56">
        <f>SUM(W7:W13)</f>
        <v>0</v>
      </c>
      <c r="X14" s="56" t="e">
        <f>SUM(X7:X13)</f>
        <v>#REF!</v>
      </c>
      <c r="Y14" s="56" t="e">
        <f t="shared" si="5"/>
        <v>#REF!</v>
      </c>
    </row>
    <row r="15" spans="1:27" ht="13.2" x14ac:dyDescent="0.25">
      <c r="A15" s="46"/>
      <c r="B15" s="58"/>
      <c r="C15" s="45"/>
      <c r="D15" s="59"/>
      <c r="E15" s="60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45"/>
      <c r="W15" s="59"/>
      <c r="X15" s="59"/>
      <c r="Y15" s="59"/>
    </row>
    <row r="16" spans="1:27" ht="13.2" x14ac:dyDescent="0.25">
      <c r="A16" s="61" t="s">
        <v>14</v>
      </c>
      <c r="B16" s="2"/>
      <c r="C16" s="45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45"/>
      <c r="W16" s="62"/>
      <c r="X16" s="62"/>
      <c r="Y16" s="62"/>
    </row>
    <row r="17" spans="1:25" ht="13.8" x14ac:dyDescent="0.3">
      <c r="A17" s="63" t="s">
        <v>15</v>
      </c>
      <c r="B17" s="2"/>
      <c r="C17" s="45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5"/>
      <c r="W17" s="2"/>
      <c r="X17" s="2"/>
      <c r="Y17" s="2"/>
    </row>
    <row r="18" spans="1:25" ht="13.2" x14ac:dyDescent="0.25">
      <c r="A18" s="46"/>
      <c r="B18" s="2" t="s">
        <v>16</v>
      </c>
      <c r="C18" s="45"/>
      <c r="D18" s="64"/>
      <c r="E18" s="65"/>
      <c r="F18" s="64"/>
      <c r="G18" s="64"/>
      <c r="H18" s="64"/>
      <c r="I18" s="66">
        <f t="shared" ref="I18:I32" si="6">SUM(F18:H18)</f>
        <v>0</v>
      </c>
      <c r="J18" s="64"/>
      <c r="K18" s="64"/>
      <c r="L18" s="64"/>
      <c r="M18" s="66">
        <f t="shared" ref="M18:M32" si="7">SUM(J18:L18)</f>
        <v>0</v>
      </c>
      <c r="N18" s="64"/>
      <c r="O18" s="64"/>
      <c r="P18" s="64"/>
      <c r="Q18" s="66">
        <f t="shared" ref="Q18:Q32" si="8">SUM(N18:P18)</f>
        <v>0</v>
      </c>
      <c r="R18" s="64"/>
      <c r="S18" s="64"/>
      <c r="T18" s="64"/>
      <c r="U18" s="66">
        <f t="shared" ref="U18:U32" si="9">SUM(R18:T18)</f>
        <v>0</v>
      </c>
      <c r="V18" s="45"/>
      <c r="W18" s="54">
        <f t="shared" ref="W18:W31" si="10">SUM(I18,M18,Q18,U18)</f>
        <v>0</v>
      </c>
      <c r="X18" s="66">
        <f>IF('Cover Sheet'!$A$9=References!$A$3,'Annual Budget'!L18,IF('Cover Sheet'!$A$9=References!$A$4,SUM('Annual Budget'!L18,'Annual Budget'!T18),IF('Cover Sheet'!$A$9=References!$A$5,SUM('Annual Budget'!L18,'Annual Budget'!T18,'Annual Budget'!P18),SUM('Annual Budget'!L18,'Annual Budget'!T18,'Annual Budget'!P18,'Annual Budget'!X18))))</f>
        <v>1839549.8333333335</v>
      </c>
      <c r="Y18" s="66">
        <f>X18-W18</f>
        <v>1839549.8333333335</v>
      </c>
    </row>
    <row r="19" spans="1:25" ht="13.2" x14ac:dyDescent="0.25">
      <c r="A19" s="46"/>
      <c r="B19" s="2" t="s">
        <v>17</v>
      </c>
      <c r="C19" s="45"/>
      <c r="D19" s="64"/>
      <c r="E19" s="65"/>
      <c r="F19" s="64"/>
      <c r="G19" s="64"/>
      <c r="H19" s="64"/>
      <c r="I19" s="66">
        <f t="shared" si="6"/>
        <v>0</v>
      </c>
      <c r="J19" s="64"/>
      <c r="K19" s="64"/>
      <c r="L19" s="64"/>
      <c r="M19" s="66">
        <f t="shared" si="7"/>
        <v>0</v>
      </c>
      <c r="N19" s="64"/>
      <c r="O19" s="64"/>
      <c r="P19" s="64"/>
      <c r="Q19" s="66">
        <f t="shared" si="8"/>
        <v>0</v>
      </c>
      <c r="R19" s="64"/>
      <c r="S19" s="64"/>
      <c r="T19" s="64"/>
      <c r="U19" s="66">
        <f t="shared" si="9"/>
        <v>0</v>
      </c>
      <c r="V19" s="45"/>
      <c r="W19" s="54">
        <f t="shared" si="10"/>
        <v>0</v>
      </c>
      <c r="X19" s="66">
        <f>IF('Cover Sheet'!$A$9=References!$A$3,'Annual Budget'!L19,IF('Cover Sheet'!$A$9=References!$A$4,SUM('Annual Budget'!L19,'Annual Budget'!T19),IF('Cover Sheet'!$A$9=References!$A$5,SUM('Annual Budget'!L19,'Annual Budget'!T19,'Annual Budget'!P19),SUM('Annual Budget'!L19,'Annual Budget'!T19,'Annual Budget'!P19,'Annual Budget'!X19))))</f>
        <v>3866522.125</v>
      </c>
      <c r="Y19" s="66">
        <f t="shared" ref="Y19:Y31" si="11">X19-W19</f>
        <v>3866522.125</v>
      </c>
    </row>
    <row r="20" spans="1:25" ht="13.2" x14ac:dyDescent="0.25">
      <c r="A20" s="46"/>
      <c r="B20" s="2" t="s">
        <v>18</v>
      </c>
      <c r="C20" s="45"/>
      <c r="D20" s="64"/>
      <c r="E20" s="65"/>
      <c r="F20" s="64"/>
      <c r="G20" s="64"/>
      <c r="H20" s="64"/>
      <c r="I20" s="66">
        <f t="shared" si="6"/>
        <v>0</v>
      </c>
      <c r="J20" s="64"/>
      <c r="K20" s="64"/>
      <c r="L20" s="64"/>
      <c r="M20" s="66">
        <f t="shared" si="7"/>
        <v>0</v>
      </c>
      <c r="N20" s="64"/>
      <c r="O20" s="64"/>
      <c r="P20" s="64"/>
      <c r="Q20" s="66">
        <f t="shared" si="8"/>
        <v>0</v>
      </c>
      <c r="R20" s="64"/>
      <c r="S20" s="64"/>
      <c r="T20" s="64"/>
      <c r="U20" s="66">
        <f t="shared" si="9"/>
        <v>0</v>
      </c>
      <c r="V20" s="45"/>
      <c r="W20" s="54">
        <f t="shared" si="10"/>
        <v>0</v>
      </c>
      <c r="X20" s="66">
        <f>IF('Cover Sheet'!$A$9=References!$A$3,'Annual Budget'!L20,IF('Cover Sheet'!$A$9=References!$A$4,SUM('Annual Budget'!L20,'Annual Budget'!T20),IF('Cover Sheet'!$A$9=References!$A$5,SUM('Annual Budget'!L20,'Annual Budget'!T20,'Annual Budget'!P20),SUM('Annual Budget'!L20,'Annual Budget'!T20,'Annual Budget'!P20,'Annual Budget'!X20))))</f>
        <v>1739130</v>
      </c>
      <c r="Y20" s="66">
        <f t="shared" si="11"/>
        <v>1739130</v>
      </c>
    </row>
    <row r="21" spans="1:25" ht="13.2" x14ac:dyDescent="0.25">
      <c r="A21" s="46"/>
      <c r="B21" s="2" t="s">
        <v>19</v>
      </c>
      <c r="C21" s="45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5"/>
      <c r="W21" s="54">
        <f t="shared" si="10"/>
        <v>0</v>
      </c>
      <c r="X21" s="66">
        <f>IF('Cover Sheet'!$A$9=References!$A$3,'Annual Budget'!L21,IF('Cover Sheet'!$A$9=References!$A$4,SUM('Annual Budget'!L21,'Annual Budget'!T21),IF('Cover Sheet'!$A$9=References!$A$5,SUM('Annual Budget'!L21,'Annual Budget'!T21,'Annual Budget'!P21),SUM('Annual Budget'!L21,'Annual Budget'!T21,'Annual Budget'!P21,'Annual Budget'!X21))))</f>
        <v>35000</v>
      </c>
      <c r="Y21" s="66">
        <f t="shared" si="11"/>
        <v>35000</v>
      </c>
    </row>
    <row r="22" spans="1:25" ht="13.2" x14ac:dyDescent="0.25">
      <c r="A22" s="46"/>
      <c r="B22" s="2" t="s">
        <v>20</v>
      </c>
      <c r="C22" s="45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5"/>
      <c r="W22" s="54">
        <f t="shared" si="10"/>
        <v>0</v>
      </c>
      <c r="X22" s="66">
        <f>IF('Cover Sheet'!$A$9=References!$A$3,'Annual Budget'!L22,IF('Cover Sheet'!$A$9=References!$A$4,SUM('Annual Budget'!L22,'Annual Budget'!T22),IF('Cover Sheet'!$A$9=References!$A$5,SUM('Annual Budget'!L22,'Annual Budget'!T22,'Annual Budget'!P22),SUM('Annual Budget'!L22,'Annual Budget'!T22,'Annual Budget'!P22,'Annual Budget'!X22))))</f>
        <v>1066755</v>
      </c>
      <c r="Y22" s="66">
        <f t="shared" si="11"/>
        <v>1066755</v>
      </c>
    </row>
    <row r="23" spans="1:25" ht="13.2" x14ac:dyDescent="0.25">
      <c r="A23" s="46"/>
      <c r="B23" s="2" t="s">
        <v>21</v>
      </c>
      <c r="C23" s="45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5"/>
      <c r="W23" s="54">
        <f t="shared" si="10"/>
        <v>0</v>
      </c>
      <c r="X23" s="66">
        <f>IF('Cover Sheet'!$A$9=References!$A$3,'Annual Budget'!L23,IF('Cover Sheet'!$A$9=References!$A$4,SUM('Annual Budget'!L23,'Annual Budget'!T23),IF('Cover Sheet'!$A$9=References!$A$5,SUM('Annual Budget'!L23,'Annual Budget'!T23,'Annual Budget'!P23),SUM('Annual Budget'!L23,'Annual Budget'!T23,'Annual Budget'!P23,'Annual Budget'!X23))))</f>
        <v>1053500</v>
      </c>
      <c r="Y23" s="66">
        <f t="shared" si="11"/>
        <v>1053500</v>
      </c>
    </row>
    <row r="24" spans="1:25" ht="13.2" x14ac:dyDescent="0.25">
      <c r="A24" s="46"/>
      <c r="B24" s="2" t="s">
        <v>22</v>
      </c>
      <c r="C24" s="45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5"/>
      <c r="W24" s="54">
        <f t="shared" si="10"/>
        <v>0</v>
      </c>
      <c r="X24" s="66">
        <f>IF('Cover Sheet'!$A$9=References!$A$3,'Annual Budget'!L24,IF('Cover Sheet'!$A$9=References!$A$4,SUM('Annual Budget'!L24,'Annual Budget'!T24),IF('Cover Sheet'!$A$9=References!$A$5,SUM('Annual Budget'!L24,'Annual Budget'!T24,'Annual Budget'!P24),SUM('Annual Budget'!L24,'Annual Budget'!T24,'Annual Budget'!P24,'Annual Budget'!X24))))</f>
        <v>1048399</v>
      </c>
      <c r="Y24" s="66">
        <f t="shared" si="11"/>
        <v>1048399</v>
      </c>
    </row>
    <row r="25" spans="1:25" ht="13.2" x14ac:dyDescent="0.25">
      <c r="A25" s="46"/>
      <c r="B25" s="2" t="s">
        <v>23</v>
      </c>
      <c r="C25" s="45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45"/>
      <c r="W25" s="54">
        <f t="shared" si="10"/>
        <v>0</v>
      </c>
      <c r="X25" s="66">
        <f>IF('Cover Sheet'!$A$9=References!$A$3,'Annual Budget'!L25,IF('Cover Sheet'!$A$9=References!$A$4,SUM('Annual Budget'!L25,'Annual Budget'!T25),IF('Cover Sheet'!$A$9=References!$A$5,SUM('Annual Budget'!L25,'Annual Budget'!T25,'Annual Budget'!P25),SUM('Annual Budget'!L25,'Annual Budget'!T25,'Annual Budget'!P25,'Annual Budget'!X25))))</f>
        <v>268500</v>
      </c>
      <c r="Y25" s="66">
        <f t="shared" si="11"/>
        <v>268500</v>
      </c>
    </row>
    <row r="26" spans="1:25" ht="13.2" x14ac:dyDescent="0.25">
      <c r="A26" s="46"/>
      <c r="B26" s="2" t="s">
        <v>24</v>
      </c>
      <c r="C26" s="45"/>
      <c r="D26" s="64"/>
      <c r="E26" s="65"/>
      <c r="F26" s="64"/>
      <c r="G26" s="64"/>
      <c r="H26" s="64"/>
      <c r="I26" s="66">
        <f t="shared" si="6"/>
        <v>0</v>
      </c>
      <c r="J26" s="64"/>
      <c r="K26" s="64"/>
      <c r="L26" s="64"/>
      <c r="M26" s="66">
        <f t="shared" si="7"/>
        <v>0</v>
      </c>
      <c r="N26" s="64"/>
      <c r="O26" s="64"/>
      <c r="P26" s="64"/>
      <c r="Q26" s="66">
        <f t="shared" si="8"/>
        <v>0</v>
      </c>
      <c r="R26" s="64"/>
      <c r="S26" s="64"/>
      <c r="T26" s="64"/>
      <c r="U26" s="66">
        <f t="shared" si="9"/>
        <v>0</v>
      </c>
      <c r="V26" s="45"/>
      <c r="W26" s="54">
        <f t="shared" si="10"/>
        <v>0</v>
      </c>
      <c r="X26" s="66">
        <f>IF('Cover Sheet'!$A$9=References!$A$3,'Annual Budget'!L26,IF('Cover Sheet'!$A$9=References!$A$4,SUM('Annual Budget'!L26,'Annual Budget'!T26),IF('Cover Sheet'!$A$9=References!$A$5,SUM('Annual Budget'!L26,'Annual Budget'!T26,'Annual Budget'!P26),SUM('Annual Budget'!L26,'Annual Budget'!T26,'Annual Budget'!P26,'Annual Budget'!X26))))</f>
        <v>267751</v>
      </c>
      <c r="Y26" s="66">
        <f t="shared" si="11"/>
        <v>267751</v>
      </c>
    </row>
    <row r="27" spans="1:25" ht="13.2" x14ac:dyDescent="0.25">
      <c r="A27" s="46"/>
      <c r="B27" s="2" t="s">
        <v>25</v>
      </c>
      <c r="C27" s="45"/>
      <c r="D27" s="64"/>
      <c r="E27" s="65"/>
      <c r="F27" s="64"/>
      <c r="G27" s="64"/>
      <c r="H27" s="64"/>
      <c r="I27" s="66">
        <f t="shared" si="6"/>
        <v>0</v>
      </c>
      <c r="J27" s="64"/>
      <c r="K27" s="64"/>
      <c r="L27" s="64"/>
      <c r="M27" s="66">
        <f t="shared" si="7"/>
        <v>0</v>
      </c>
      <c r="N27" s="64"/>
      <c r="O27" s="64"/>
      <c r="P27" s="64"/>
      <c r="Q27" s="66">
        <f t="shared" si="8"/>
        <v>0</v>
      </c>
      <c r="R27" s="64"/>
      <c r="S27" s="64"/>
      <c r="T27" s="64"/>
      <c r="U27" s="66">
        <f t="shared" si="9"/>
        <v>0</v>
      </c>
      <c r="V27" s="45"/>
      <c r="W27" s="54">
        <f t="shared" si="10"/>
        <v>0</v>
      </c>
      <c r="X27" s="66">
        <f>IF('Cover Sheet'!$A$9=References!$A$3,'Annual Budget'!L27,IF('Cover Sheet'!$A$9=References!$A$4,SUM('Annual Budget'!L27,'Annual Budget'!T27),IF('Cover Sheet'!$A$9=References!$A$5,SUM('Annual Budget'!L27,'Annual Budget'!T27,'Annual Budget'!P27),SUM('Annual Budget'!L27,'Annual Budget'!T27,'Annual Budget'!P27,'Annual Budget'!X27))))</f>
        <v>134140</v>
      </c>
      <c r="Y27" s="66">
        <f t="shared" si="11"/>
        <v>134140</v>
      </c>
    </row>
    <row r="28" spans="1:25" ht="13.2" x14ac:dyDescent="0.25">
      <c r="A28" s="46"/>
      <c r="B28" s="2" t="s">
        <v>26</v>
      </c>
      <c r="C28" s="45"/>
      <c r="D28" s="64"/>
      <c r="E28" s="65"/>
      <c r="F28" s="64"/>
      <c r="G28" s="64"/>
      <c r="H28" s="64"/>
      <c r="I28" s="66">
        <f t="shared" si="6"/>
        <v>0</v>
      </c>
      <c r="J28" s="64"/>
      <c r="K28" s="64"/>
      <c r="L28" s="64"/>
      <c r="M28" s="66">
        <f t="shared" si="7"/>
        <v>0</v>
      </c>
      <c r="N28" s="64"/>
      <c r="O28" s="64"/>
      <c r="P28" s="64"/>
      <c r="Q28" s="66">
        <f t="shared" si="8"/>
        <v>0</v>
      </c>
      <c r="R28" s="64"/>
      <c r="S28" s="64"/>
      <c r="T28" s="64"/>
      <c r="U28" s="66">
        <f t="shared" si="9"/>
        <v>0</v>
      </c>
      <c r="V28" s="45"/>
      <c r="W28" s="54">
        <f t="shared" si="10"/>
        <v>0</v>
      </c>
      <c r="X28" s="66">
        <f>IF('Cover Sheet'!$A$9=References!$A$3,'Annual Budget'!L29,IF('Cover Sheet'!$A$9=References!$A$4,SUM('Annual Budget'!L29,'Annual Budget'!T29),IF('Cover Sheet'!$A$9=References!$A$5,SUM('Annual Budget'!L29,'Annual Budget'!T29,'Annual Budget'!P29),SUM('Annual Budget'!L29,'Annual Budget'!T29,'Annual Budget'!P29,'Annual Budget'!X29))))</f>
        <v>218530</v>
      </c>
      <c r="Y28" s="66">
        <f t="shared" si="11"/>
        <v>218530</v>
      </c>
    </row>
    <row r="29" spans="1:25" ht="13.2" x14ac:dyDescent="0.25">
      <c r="A29" s="46"/>
      <c r="B29" s="2" t="s">
        <v>27</v>
      </c>
      <c r="C29" s="45"/>
      <c r="D29" s="64"/>
      <c r="E29" s="65"/>
      <c r="F29" s="64"/>
      <c r="G29" s="64"/>
      <c r="H29" s="64"/>
      <c r="I29" s="66">
        <f t="shared" si="6"/>
        <v>0</v>
      </c>
      <c r="J29" s="64"/>
      <c r="K29" s="64"/>
      <c r="L29" s="64"/>
      <c r="M29" s="66">
        <f t="shared" si="7"/>
        <v>0</v>
      </c>
      <c r="N29" s="64"/>
      <c r="O29" s="64"/>
      <c r="P29" s="64"/>
      <c r="Q29" s="66">
        <f t="shared" si="8"/>
        <v>0</v>
      </c>
      <c r="R29" s="64"/>
      <c r="S29" s="64"/>
      <c r="T29" s="64"/>
      <c r="U29" s="66">
        <f t="shared" si="9"/>
        <v>0</v>
      </c>
      <c r="V29" s="45"/>
      <c r="W29" s="54">
        <f t="shared" si="10"/>
        <v>0</v>
      </c>
      <c r="X29" s="66">
        <f>IF('Cover Sheet'!$A$9=References!$A$3,'Annual Budget'!L30,IF('Cover Sheet'!$A$9=References!$A$4,SUM('Annual Budget'!L30,'Annual Budget'!T30),IF('Cover Sheet'!$A$9=References!$A$5,SUM('Annual Budget'!L30,'Annual Budget'!T30,'Annual Budget'!P30),SUM('Annual Budget'!L30,'Annual Budget'!T30,'Annual Budget'!P30,'Annual Budget'!X30))))</f>
        <v>2310524</v>
      </c>
      <c r="Y29" s="66">
        <f t="shared" si="11"/>
        <v>2310524</v>
      </c>
    </row>
    <row r="30" spans="1:25" ht="13.2" x14ac:dyDescent="0.25">
      <c r="A30" s="46"/>
      <c r="B30" s="2" t="s">
        <v>28</v>
      </c>
      <c r="C30" s="45"/>
      <c r="D30" s="64"/>
      <c r="E30" s="65"/>
      <c r="F30" s="64"/>
      <c r="G30" s="64"/>
      <c r="H30" s="64"/>
      <c r="I30" s="66">
        <f t="shared" si="6"/>
        <v>0</v>
      </c>
      <c r="J30" s="64"/>
      <c r="K30" s="64"/>
      <c r="L30" s="64"/>
      <c r="M30" s="66">
        <f t="shared" si="7"/>
        <v>0</v>
      </c>
      <c r="N30" s="64"/>
      <c r="O30" s="64"/>
      <c r="P30" s="64"/>
      <c r="Q30" s="66">
        <f t="shared" si="8"/>
        <v>0</v>
      </c>
      <c r="R30" s="64"/>
      <c r="S30" s="64"/>
      <c r="T30" s="64"/>
      <c r="U30" s="66">
        <f t="shared" si="9"/>
        <v>0</v>
      </c>
      <c r="V30" s="45"/>
      <c r="W30" s="54">
        <f t="shared" si="10"/>
        <v>0</v>
      </c>
      <c r="X30" s="66">
        <f>IF('Cover Sheet'!$A$9=References!$A$3,'Annual Budget'!L31,IF('Cover Sheet'!$A$9=References!$A$4,SUM('Annual Budget'!L31,'Annual Budget'!T31),IF('Cover Sheet'!$A$9=References!$A$5,SUM('Annual Budget'!L31,'Annual Budget'!T31,'Annual Budget'!P31),SUM('Annual Budget'!L31,'Annual Budget'!T31,'Annual Budget'!P31,'Annual Budget'!X31))))</f>
        <v>85000</v>
      </c>
      <c r="Y30" s="66">
        <f t="shared" si="11"/>
        <v>85000</v>
      </c>
    </row>
    <row r="31" spans="1:25" ht="13.2" x14ac:dyDescent="0.25">
      <c r="A31" s="46"/>
      <c r="B31" s="2" t="s">
        <v>29</v>
      </c>
      <c r="C31" s="45"/>
      <c r="D31" s="64"/>
      <c r="E31" s="65"/>
      <c r="F31" s="64"/>
      <c r="G31" s="64"/>
      <c r="H31" s="64"/>
      <c r="I31" s="66">
        <f t="shared" si="6"/>
        <v>0</v>
      </c>
      <c r="J31" s="64"/>
      <c r="K31" s="64"/>
      <c r="L31" s="64"/>
      <c r="M31" s="66">
        <f t="shared" si="7"/>
        <v>0</v>
      </c>
      <c r="N31" s="64"/>
      <c r="O31" s="64"/>
      <c r="P31" s="64"/>
      <c r="Q31" s="66">
        <f t="shared" si="8"/>
        <v>0</v>
      </c>
      <c r="R31" s="64"/>
      <c r="S31" s="64"/>
      <c r="T31" s="64"/>
      <c r="U31" s="66">
        <f t="shared" si="9"/>
        <v>0</v>
      </c>
      <c r="V31" s="45"/>
      <c r="W31" s="54">
        <f t="shared" si="10"/>
        <v>0</v>
      </c>
      <c r="X31" s="66">
        <f>IF('Cover Sheet'!$A$9=References!$A$3,'Annual Budget'!L32,IF('Cover Sheet'!$A$9=References!$A$4,SUM('Annual Budget'!L32,'Annual Budget'!T32),IF('Cover Sheet'!$A$9=References!$A$5,SUM('Annual Budget'!L32,'Annual Budget'!T32,'Annual Budget'!P32),SUM('Annual Budget'!L32,'Annual Budget'!T32,'Annual Budget'!P32,'Annual Budget'!X32))))</f>
        <v>350000</v>
      </c>
      <c r="Y31" s="66">
        <f t="shared" si="11"/>
        <v>350000</v>
      </c>
    </row>
    <row r="32" spans="1:25" ht="13.2" x14ac:dyDescent="0.25">
      <c r="A32" s="2"/>
      <c r="B32" s="55" t="s">
        <v>30</v>
      </c>
      <c r="C32" s="45"/>
      <c r="D32" s="56">
        <f>SUM(D18:D31)</f>
        <v>0</v>
      </c>
      <c r="E32" s="57"/>
      <c r="F32" s="56">
        <f>SUM(F18:F31)</f>
        <v>0</v>
      </c>
      <c r="G32" s="56">
        <f>SUM(G18:G31)</f>
        <v>0</v>
      </c>
      <c r="H32" s="56">
        <f>SUM(H18:H31)</f>
        <v>0</v>
      </c>
      <c r="I32" s="56">
        <f t="shared" si="6"/>
        <v>0</v>
      </c>
      <c r="J32" s="56">
        <f>SUM(J18:J31)</f>
        <v>0</v>
      </c>
      <c r="K32" s="56">
        <f>SUM(K18:K31)</f>
        <v>0</v>
      </c>
      <c r="L32" s="56">
        <f>SUM(L18:L31)</f>
        <v>0</v>
      </c>
      <c r="M32" s="56">
        <f t="shared" si="7"/>
        <v>0</v>
      </c>
      <c r="N32" s="56">
        <f>SUM(N18:N31)</f>
        <v>0</v>
      </c>
      <c r="O32" s="56">
        <f>SUM(O18:O31)</f>
        <v>0</v>
      </c>
      <c r="P32" s="56">
        <f>SUM(P18:P31)</f>
        <v>0</v>
      </c>
      <c r="Q32" s="56">
        <f t="shared" si="8"/>
        <v>0</v>
      </c>
      <c r="R32" s="56">
        <f>SUM(R18:R31)</f>
        <v>0</v>
      </c>
      <c r="S32" s="56">
        <f>SUM(S18:S31)</f>
        <v>0</v>
      </c>
      <c r="T32" s="56">
        <f>SUM(T18:T31)</f>
        <v>0</v>
      </c>
      <c r="U32" s="56">
        <f t="shared" si="9"/>
        <v>0</v>
      </c>
      <c r="V32" s="45"/>
      <c r="W32" s="56">
        <f>SUM(W18:W31)</f>
        <v>0</v>
      </c>
      <c r="X32" s="56">
        <f>SUM(X18:X31)</f>
        <v>14283300.958333334</v>
      </c>
      <c r="Y32" s="56">
        <f>X32-W32</f>
        <v>14283300.958333334</v>
      </c>
    </row>
    <row r="33" spans="1:26" ht="13.2" x14ac:dyDescent="0.25">
      <c r="A33" s="2"/>
      <c r="C33" s="45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45"/>
      <c r="W33" s="60"/>
      <c r="X33" s="60"/>
      <c r="Y33" s="60"/>
    </row>
    <row r="34" spans="1:26" ht="13.8" x14ac:dyDescent="0.3">
      <c r="A34" s="63" t="s">
        <v>31</v>
      </c>
      <c r="B34" s="2"/>
      <c r="C34" s="45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5"/>
      <c r="W34" s="2"/>
      <c r="X34" s="2"/>
      <c r="Y34" s="2"/>
    </row>
    <row r="35" spans="1:26" ht="13.2" x14ac:dyDescent="0.25">
      <c r="A35" s="46"/>
      <c r="B35" s="2" t="s">
        <v>32</v>
      </c>
      <c r="C35" s="45"/>
      <c r="D35" s="64"/>
      <c r="E35" s="65"/>
      <c r="F35" s="64"/>
      <c r="G35" s="64"/>
      <c r="H35" s="64"/>
      <c r="I35" s="66">
        <f t="shared" ref="I35:I42" si="12">SUM(F35:H35)</f>
        <v>0</v>
      </c>
      <c r="J35" s="64"/>
      <c r="K35" s="64"/>
      <c r="L35" s="64"/>
      <c r="M35" s="66">
        <f t="shared" ref="M35:M42" si="13">SUM(J35:L35)</f>
        <v>0</v>
      </c>
      <c r="N35" s="64"/>
      <c r="O35" s="64"/>
      <c r="P35" s="64"/>
      <c r="Q35" s="66">
        <f t="shared" ref="Q35:Q42" si="14">SUM(N35:P35)</f>
        <v>0</v>
      </c>
      <c r="R35" s="64"/>
      <c r="S35" s="64"/>
      <c r="T35" s="64"/>
      <c r="U35" s="66">
        <f t="shared" ref="U35:U42" si="15">SUM(R35:T35)</f>
        <v>0</v>
      </c>
      <c r="V35" s="45"/>
      <c r="W35" s="54">
        <f t="shared" ref="W35:W41" si="16">SUM(I35,M35,Q35,U35)</f>
        <v>0</v>
      </c>
      <c r="X35" s="66">
        <f>IF('Cover Sheet'!$A$9=References!$A$3,'Annual Budget'!L36,IF('Cover Sheet'!$A$9=References!$A$4,SUM('Annual Budget'!L36,'Annual Budget'!T36),IF('Cover Sheet'!$A$9=References!$A$5,SUM('Annual Budget'!L36,'Annual Budget'!T36,'Annual Budget'!P36),SUM('Annual Budget'!L36,'Annual Budget'!T36,'Annual Budget'!P36,'Annual Budget'!X36))))</f>
        <v>127051</v>
      </c>
      <c r="Y35" s="66">
        <f t="shared" ref="Y35:Y41" si="17">X35-W35</f>
        <v>127051</v>
      </c>
    </row>
    <row r="36" spans="1:26" ht="13.2" x14ac:dyDescent="0.25">
      <c r="A36" s="46"/>
      <c r="B36" s="2" t="s">
        <v>33</v>
      </c>
      <c r="C36" s="45"/>
      <c r="D36" s="64"/>
      <c r="E36" s="65"/>
      <c r="F36" s="64"/>
      <c r="G36" s="64"/>
      <c r="H36" s="64"/>
      <c r="I36" s="66">
        <f t="shared" si="12"/>
        <v>0</v>
      </c>
      <c r="J36" s="64"/>
      <c r="K36" s="64"/>
      <c r="L36" s="64"/>
      <c r="M36" s="66">
        <f t="shared" si="13"/>
        <v>0</v>
      </c>
      <c r="N36" s="64"/>
      <c r="O36" s="64"/>
      <c r="P36" s="64"/>
      <c r="Q36" s="66">
        <f t="shared" si="14"/>
        <v>0</v>
      </c>
      <c r="R36" s="64"/>
      <c r="S36" s="64"/>
      <c r="T36" s="64"/>
      <c r="U36" s="66">
        <f t="shared" si="15"/>
        <v>0</v>
      </c>
      <c r="V36" s="45"/>
      <c r="W36" s="54">
        <f t="shared" si="16"/>
        <v>0</v>
      </c>
      <c r="X36" s="66">
        <f>IF('Cover Sheet'!$A$9=References!$A$3,'Annual Budget'!L37,IF('Cover Sheet'!$A$9=References!$A$4,SUM('Annual Budget'!L37,'Annual Budget'!T37),IF('Cover Sheet'!$A$9=References!$A$5,SUM('Annual Budget'!L37,'Annual Budget'!T37,'Annual Budget'!P37),SUM('Annual Budget'!L37,'Annual Budget'!T37,'Annual Budget'!P37,'Annual Budget'!X37))))</f>
        <v>279983</v>
      </c>
      <c r="Y36" s="66">
        <f t="shared" si="17"/>
        <v>279983</v>
      </c>
    </row>
    <row r="37" spans="1:26" ht="13.2" x14ac:dyDescent="0.25">
      <c r="A37" s="46"/>
      <c r="B37" s="2" t="s">
        <v>34</v>
      </c>
      <c r="C37" s="45"/>
      <c r="D37" s="64"/>
      <c r="E37" s="65"/>
      <c r="F37" s="64"/>
      <c r="G37" s="64"/>
      <c r="H37" s="64"/>
      <c r="I37" s="66">
        <f t="shared" si="12"/>
        <v>0</v>
      </c>
      <c r="J37" s="64"/>
      <c r="K37" s="64"/>
      <c r="L37" s="64"/>
      <c r="M37" s="66">
        <f t="shared" si="13"/>
        <v>0</v>
      </c>
      <c r="N37" s="64"/>
      <c r="O37" s="64"/>
      <c r="P37" s="64"/>
      <c r="Q37" s="66">
        <f t="shared" si="14"/>
        <v>0</v>
      </c>
      <c r="R37" s="64"/>
      <c r="S37" s="64"/>
      <c r="T37" s="64"/>
      <c r="U37" s="66">
        <f t="shared" si="15"/>
        <v>0</v>
      </c>
      <c r="V37" s="45"/>
      <c r="W37" s="54">
        <f t="shared" si="16"/>
        <v>0</v>
      </c>
      <c r="X37" s="66">
        <f>IF('Cover Sheet'!$A$9=References!$A$3,'Annual Budget'!L38,IF('Cover Sheet'!$A$9=References!$A$4,SUM('Annual Budget'!L38,'Annual Budget'!T38),IF('Cover Sheet'!$A$9=References!$A$5,SUM('Annual Budget'!L38,'Annual Budget'!T38,'Annual Budget'!P38),SUM('Annual Budget'!L38,'Annual Budget'!T38,'Annual Budget'!P38,'Annual Budget'!X38))))</f>
        <v>30000</v>
      </c>
      <c r="Y37" s="66">
        <f t="shared" si="17"/>
        <v>30000</v>
      </c>
    </row>
    <row r="38" spans="1:26" ht="13.2" x14ac:dyDescent="0.25">
      <c r="A38" s="46"/>
      <c r="B38" s="2" t="s">
        <v>35</v>
      </c>
      <c r="C38" s="45"/>
      <c r="D38" s="64"/>
      <c r="E38" s="65"/>
      <c r="F38" s="64"/>
      <c r="G38" s="64"/>
      <c r="H38" s="64"/>
      <c r="I38" s="66">
        <f t="shared" si="12"/>
        <v>0</v>
      </c>
      <c r="J38" s="64"/>
      <c r="K38" s="64"/>
      <c r="L38" s="64"/>
      <c r="M38" s="66">
        <f t="shared" si="13"/>
        <v>0</v>
      </c>
      <c r="N38" s="64"/>
      <c r="O38" s="64"/>
      <c r="P38" s="64"/>
      <c r="Q38" s="66">
        <f t="shared" si="14"/>
        <v>0</v>
      </c>
      <c r="R38" s="64"/>
      <c r="S38" s="64"/>
      <c r="T38" s="64"/>
      <c r="U38" s="66">
        <f t="shared" si="15"/>
        <v>0</v>
      </c>
      <c r="V38" s="45"/>
      <c r="W38" s="54">
        <f t="shared" si="16"/>
        <v>0</v>
      </c>
      <c r="X38" s="66">
        <f>IF('Cover Sheet'!$A$9=References!$A$3,'Annual Budget'!L41,IF('Cover Sheet'!$A$9=References!$A$4,SUM('Annual Budget'!L41,'Annual Budget'!T41),IF('Cover Sheet'!$A$9=References!$A$5,SUM('Annual Budget'!L41,'Annual Budget'!T41,'Annual Budget'!P41),SUM('Annual Budget'!L41,'Annual Budget'!T41,'Annual Budget'!P41,'Annual Budget'!X41))))</f>
        <v>104000</v>
      </c>
      <c r="Y38" s="66">
        <f t="shared" si="17"/>
        <v>104000</v>
      </c>
    </row>
    <row r="39" spans="1:26" ht="13.2" x14ac:dyDescent="0.25">
      <c r="A39" s="46"/>
      <c r="B39" s="2" t="s">
        <v>36</v>
      </c>
      <c r="C39" s="45"/>
      <c r="D39" s="64"/>
      <c r="E39" s="65"/>
      <c r="F39" s="64"/>
      <c r="G39" s="64"/>
      <c r="H39" s="64"/>
      <c r="I39" s="66">
        <f t="shared" si="12"/>
        <v>0</v>
      </c>
      <c r="J39" s="64"/>
      <c r="K39" s="64"/>
      <c r="L39" s="64"/>
      <c r="M39" s="66">
        <f t="shared" si="13"/>
        <v>0</v>
      </c>
      <c r="N39" s="64"/>
      <c r="O39" s="64"/>
      <c r="P39" s="64"/>
      <c r="Q39" s="66">
        <f t="shared" si="14"/>
        <v>0</v>
      </c>
      <c r="R39" s="64"/>
      <c r="S39" s="64"/>
      <c r="T39" s="64"/>
      <c r="U39" s="66">
        <f t="shared" si="15"/>
        <v>0</v>
      </c>
      <c r="V39" s="45"/>
      <c r="W39" s="54">
        <f t="shared" si="16"/>
        <v>0</v>
      </c>
      <c r="X39" s="66">
        <f>IF('Cover Sheet'!$A$9=References!$A$3,'Annual Budget'!L43,IF('Cover Sheet'!$A$9=References!$A$4,SUM('Annual Budget'!L43,'Annual Budget'!T43),IF('Cover Sheet'!$A$9=References!$A$5,SUM('Annual Budget'!L43,'Annual Budget'!T43,'Annual Budget'!P43),SUM('Annual Budget'!L43,'Annual Budget'!T43,'Annual Budget'!P43,'Annual Budget'!X43))))</f>
        <v>450000</v>
      </c>
      <c r="Y39" s="66">
        <f t="shared" si="17"/>
        <v>450000</v>
      </c>
    </row>
    <row r="40" spans="1:26" ht="13.2" x14ac:dyDescent="0.25">
      <c r="A40" s="46"/>
      <c r="B40" s="46" t="s">
        <v>58</v>
      </c>
      <c r="C40" s="45"/>
      <c r="D40" s="64"/>
      <c r="E40" s="65"/>
      <c r="F40" s="64"/>
      <c r="G40" s="64"/>
      <c r="H40" s="64"/>
      <c r="I40" s="66">
        <f>SUM(F40:H40)</f>
        <v>0</v>
      </c>
      <c r="J40" s="64"/>
      <c r="K40" s="64"/>
      <c r="L40" s="64"/>
      <c r="M40" s="66">
        <f>SUM(J40:L40)</f>
        <v>0</v>
      </c>
      <c r="N40" s="64"/>
      <c r="O40" s="64"/>
      <c r="P40" s="64"/>
      <c r="Q40" s="66">
        <f>SUM(N40:P40)</f>
        <v>0</v>
      </c>
      <c r="R40" s="64"/>
      <c r="S40" s="64"/>
      <c r="T40" s="64"/>
      <c r="U40" s="66">
        <f>SUM(R40:T40)</f>
        <v>0</v>
      </c>
      <c r="V40" s="45"/>
      <c r="W40" s="54">
        <f>SUM(I40,M40,Q40,U40)</f>
        <v>0</v>
      </c>
      <c r="X40" s="66" t="e">
        <f>IF('Cover Sheet'!$A$9=References!$A$3,'Annual Budget'!#REF!,IF('Cover Sheet'!$A$9=References!$A$4,SUM('Annual Budget'!#REF!,'Annual Budget'!#REF!),IF('Cover Sheet'!$A$9=References!$A$5,SUM('Annual Budget'!#REF!,'Annual Budget'!#REF!,'Annual Budget'!#REF!),SUM('Annual Budget'!#REF!,'Annual Budget'!#REF!,'Annual Budget'!#REF!,'Annual Budget'!#REF!))))</f>
        <v>#REF!</v>
      </c>
      <c r="Y40" s="66" t="e">
        <f>X40-W40</f>
        <v>#REF!</v>
      </c>
    </row>
    <row r="41" spans="1:26" ht="13.2" x14ac:dyDescent="0.25">
      <c r="A41" s="46"/>
      <c r="B41" s="2" t="s">
        <v>37</v>
      </c>
      <c r="C41" s="45"/>
      <c r="D41" s="64"/>
      <c r="E41" s="65"/>
      <c r="F41" s="64"/>
      <c r="G41" s="64"/>
      <c r="H41" s="64"/>
      <c r="I41" s="66">
        <f t="shared" si="12"/>
        <v>0</v>
      </c>
      <c r="J41" s="64"/>
      <c r="K41" s="64"/>
      <c r="L41" s="64"/>
      <c r="M41" s="66">
        <f t="shared" si="13"/>
        <v>0</v>
      </c>
      <c r="N41" s="64"/>
      <c r="O41" s="64"/>
      <c r="P41" s="64"/>
      <c r="Q41" s="66">
        <f t="shared" si="14"/>
        <v>0</v>
      </c>
      <c r="R41" s="64"/>
      <c r="S41" s="64"/>
      <c r="T41" s="64"/>
      <c r="U41" s="66">
        <f t="shared" si="15"/>
        <v>0</v>
      </c>
      <c r="V41" s="45"/>
      <c r="W41" s="54">
        <f t="shared" si="16"/>
        <v>0</v>
      </c>
      <c r="X41" s="66">
        <f>IF('Cover Sheet'!$A$9=References!$A$3,'Annual Budget'!L44,IF('Cover Sheet'!$A$9=References!$A$4,SUM('Annual Budget'!L44,'Annual Budget'!T44),IF('Cover Sheet'!$A$9=References!$A$5,SUM('Annual Budget'!L44,'Annual Budget'!T44,'Annual Budget'!P44),SUM('Annual Budget'!L44,'Annual Budget'!T44,'Annual Budget'!P44,'Annual Budget'!X44))))</f>
        <v>197000</v>
      </c>
      <c r="Y41" s="66">
        <f t="shared" si="17"/>
        <v>197000</v>
      </c>
    </row>
    <row r="42" spans="1:26" ht="13.2" x14ac:dyDescent="0.25">
      <c r="A42" s="2"/>
      <c r="B42" s="55" t="s">
        <v>38</v>
      </c>
      <c r="C42" s="45"/>
      <c r="D42" s="56">
        <f>SUM(D35:D41)</f>
        <v>0</v>
      </c>
      <c r="E42" s="57"/>
      <c r="F42" s="56">
        <f>SUM(F35:F41)</f>
        <v>0</v>
      </c>
      <c r="G42" s="56">
        <f>SUM(G35:G41)</f>
        <v>0</v>
      </c>
      <c r="H42" s="56">
        <f>SUM(H35:H41)</f>
        <v>0</v>
      </c>
      <c r="I42" s="56">
        <f t="shared" si="12"/>
        <v>0</v>
      </c>
      <c r="J42" s="56">
        <f>SUM(J35:J41)</f>
        <v>0</v>
      </c>
      <c r="K42" s="56">
        <f>SUM(K35:K41)</f>
        <v>0</v>
      </c>
      <c r="L42" s="56">
        <f>SUM(L35:L41)</f>
        <v>0</v>
      </c>
      <c r="M42" s="56">
        <f t="shared" si="13"/>
        <v>0</v>
      </c>
      <c r="N42" s="56">
        <f>SUM(N35:N41)</f>
        <v>0</v>
      </c>
      <c r="O42" s="56">
        <f>SUM(O35:O41)</f>
        <v>0</v>
      </c>
      <c r="P42" s="56">
        <f>SUM(P35:P41)</f>
        <v>0</v>
      </c>
      <c r="Q42" s="56">
        <f t="shared" si="14"/>
        <v>0</v>
      </c>
      <c r="R42" s="56">
        <f>SUM(R35:R41)</f>
        <v>0</v>
      </c>
      <c r="S42" s="56">
        <f>SUM(S35:S41)</f>
        <v>0</v>
      </c>
      <c r="T42" s="56">
        <f>SUM(T35:T41)</f>
        <v>0</v>
      </c>
      <c r="U42" s="56">
        <f t="shared" si="15"/>
        <v>0</v>
      </c>
      <c r="V42" s="45"/>
      <c r="W42" s="56">
        <f>SUM(W35:W41)</f>
        <v>0</v>
      </c>
      <c r="X42" s="56" t="e">
        <f>SUM(X35:X41)</f>
        <v>#REF!</v>
      </c>
      <c r="Y42" s="56" t="e">
        <f>X42-W42</f>
        <v>#REF!</v>
      </c>
      <c r="Z42" s="47"/>
    </row>
    <row r="43" spans="1:26" ht="13.2" x14ac:dyDescent="0.25">
      <c r="A43" s="52"/>
      <c r="B43" s="52"/>
      <c r="C43" s="45"/>
      <c r="D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5"/>
      <c r="W43" s="46"/>
      <c r="X43" s="46"/>
      <c r="Y43" s="46"/>
    </row>
    <row r="44" spans="1:26" ht="13.8" x14ac:dyDescent="0.3">
      <c r="A44" s="67" t="s">
        <v>39</v>
      </c>
      <c r="B44" s="46"/>
      <c r="C44" s="45"/>
      <c r="D44" s="66"/>
      <c r="E44" s="65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45"/>
      <c r="W44" s="66"/>
      <c r="X44" s="66"/>
      <c r="Y44" s="66"/>
    </row>
    <row r="45" spans="1:26" ht="13.2" x14ac:dyDescent="0.25">
      <c r="A45" s="46"/>
      <c r="B45" s="46" t="s">
        <v>40</v>
      </c>
      <c r="C45" s="45"/>
      <c r="D45" s="64"/>
      <c r="E45" s="65"/>
      <c r="F45" s="64"/>
      <c r="G45" s="64"/>
      <c r="H45" s="64"/>
      <c r="I45" s="66">
        <f t="shared" ref="I45" si="18">SUM(F45:H45)</f>
        <v>0</v>
      </c>
      <c r="J45" s="64"/>
      <c r="K45" s="64"/>
      <c r="L45" s="64"/>
      <c r="M45" s="66">
        <f t="shared" ref="M45:M50" si="19">SUM(J45:L45)</f>
        <v>0</v>
      </c>
      <c r="N45" s="64"/>
      <c r="O45" s="64"/>
      <c r="P45" s="64"/>
      <c r="Q45" s="66">
        <f t="shared" ref="Q45:Q50" si="20">SUM(N45:P45)</f>
        <v>0</v>
      </c>
      <c r="R45" s="64"/>
      <c r="S45" s="64"/>
      <c r="T45" s="64"/>
      <c r="U45" s="66">
        <f t="shared" ref="U45:U50" si="21">SUM(R45:T45)</f>
        <v>0</v>
      </c>
      <c r="V45" s="45"/>
      <c r="W45" s="54">
        <f t="shared" ref="W45:W49" si="22">SUM(I45,M45,Q45,U45)</f>
        <v>0</v>
      </c>
      <c r="X45" s="66">
        <f>IF('Cover Sheet'!$A$9=References!$A$3,'Annual Budget'!L48,IF('Cover Sheet'!$A$9=References!$A$4,SUM('Annual Budget'!L48,'Annual Budget'!T48),IF('Cover Sheet'!$A$9=References!$A$5,SUM('Annual Budget'!L48,'Annual Budget'!T48,'Annual Budget'!P48),SUM('Annual Budget'!L48,'Annual Budget'!T48,'Annual Budget'!P48,'Annual Budget'!X48))))</f>
        <v>400000</v>
      </c>
      <c r="Y45" s="66">
        <f t="shared" ref="Y45:Y50" si="23">X45-W45</f>
        <v>400000</v>
      </c>
    </row>
    <row r="46" spans="1:26" ht="13.2" x14ac:dyDescent="0.25">
      <c r="A46" s="46"/>
      <c r="B46" s="46" t="s">
        <v>41</v>
      </c>
      <c r="C46" s="45"/>
      <c r="D46" s="64"/>
      <c r="E46" s="65"/>
      <c r="F46" s="64"/>
      <c r="G46" s="64"/>
      <c r="H46" s="64"/>
      <c r="I46" s="66">
        <f t="shared" ref="I46:I50" si="24">SUM(F46:H46)</f>
        <v>0</v>
      </c>
      <c r="J46" s="64"/>
      <c r="K46" s="64"/>
      <c r="L46" s="64"/>
      <c r="M46" s="66">
        <f t="shared" si="19"/>
        <v>0</v>
      </c>
      <c r="N46" s="64"/>
      <c r="O46" s="64"/>
      <c r="P46" s="64"/>
      <c r="Q46" s="66">
        <f t="shared" si="20"/>
        <v>0</v>
      </c>
      <c r="R46" s="64"/>
      <c r="S46" s="64"/>
      <c r="T46" s="64"/>
      <c r="U46" s="66">
        <f t="shared" si="21"/>
        <v>0</v>
      </c>
      <c r="V46" s="45"/>
      <c r="W46" s="54">
        <f t="shared" si="22"/>
        <v>0</v>
      </c>
      <c r="X46" s="66">
        <f>IF('Cover Sheet'!$A$9=References!$A$3,'Annual Budget'!L49,IF('Cover Sheet'!$A$9=References!$A$4,SUM('Annual Budget'!L49,'Annual Budget'!T49),IF('Cover Sheet'!$A$9=References!$A$5,SUM('Annual Budget'!L49,'Annual Budget'!T49,'Annual Budget'!P49),SUM('Annual Budget'!L49,'Annual Budget'!T49,'Annual Budget'!P49,'Annual Budget'!X49))))</f>
        <v>125000</v>
      </c>
      <c r="Y46" s="66">
        <f t="shared" si="23"/>
        <v>125000</v>
      </c>
    </row>
    <row r="47" spans="1:26" ht="13.2" x14ac:dyDescent="0.25">
      <c r="A47" s="46"/>
      <c r="B47" s="46" t="s">
        <v>42</v>
      </c>
      <c r="C47" s="45"/>
      <c r="D47" s="64"/>
      <c r="E47" s="65"/>
      <c r="F47" s="64"/>
      <c r="G47" s="64"/>
      <c r="H47" s="64"/>
      <c r="I47" s="66">
        <f t="shared" si="24"/>
        <v>0</v>
      </c>
      <c r="J47" s="64"/>
      <c r="K47" s="64"/>
      <c r="L47" s="64"/>
      <c r="M47" s="66">
        <f t="shared" si="19"/>
        <v>0</v>
      </c>
      <c r="N47" s="64"/>
      <c r="O47" s="64"/>
      <c r="P47" s="64"/>
      <c r="Q47" s="66">
        <f t="shared" si="20"/>
        <v>0</v>
      </c>
      <c r="R47" s="64"/>
      <c r="S47" s="64"/>
      <c r="T47" s="64"/>
      <c r="U47" s="66">
        <f t="shared" si="21"/>
        <v>0</v>
      </c>
      <c r="V47" s="45"/>
      <c r="W47" s="54">
        <f t="shared" si="22"/>
        <v>0</v>
      </c>
      <c r="X47" s="66">
        <f>IF('Cover Sheet'!$A$9=References!$A$3,'Annual Budget'!L50,IF('Cover Sheet'!$A$9=References!$A$4,SUM('Annual Budget'!L50,'Annual Budget'!T50),IF('Cover Sheet'!$A$9=References!$A$5,SUM('Annual Budget'!L50,'Annual Budget'!T50,'Annual Budget'!P50),SUM('Annual Budget'!L50,'Annual Budget'!T50,'Annual Budget'!P50,'Annual Budget'!X50))))</f>
        <v>362560</v>
      </c>
      <c r="Y47" s="66">
        <f t="shared" si="23"/>
        <v>362560</v>
      </c>
    </row>
    <row r="48" spans="1:26" ht="13.2" x14ac:dyDescent="0.25">
      <c r="A48" s="46"/>
      <c r="B48" s="46" t="s">
        <v>43</v>
      </c>
      <c r="C48" s="45"/>
      <c r="D48" s="64"/>
      <c r="E48" s="65"/>
      <c r="F48" s="64"/>
      <c r="G48" s="64"/>
      <c r="H48" s="64"/>
      <c r="I48" s="66">
        <f t="shared" si="24"/>
        <v>0</v>
      </c>
      <c r="J48" s="64"/>
      <c r="K48" s="64"/>
      <c r="L48" s="64"/>
      <c r="M48" s="66">
        <f t="shared" si="19"/>
        <v>0</v>
      </c>
      <c r="N48" s="64"/>
      <c r="O48" s="64"/>
      <c r="P48" s="64"/>
      <c r="Q48" s="66">
        <f t="shared" si="20"/>
        <v>0</v>
      </c>
      <c r="R48" s="64"/>
      <c r="S48" s="64"/>
      <c r="T48" s="64"/>
      <c r="U48" s="66">
        <f t="shared" si="21"/>
        <v>0</v>
      </c>
      <c r="V48" s="45"/>
      <c r="W48" s="54">
        <f t="shared" si="22"/>
        <v>0</v>
      </c>
      <c r="X48" s="66">
        <f>IF('Cover Sheet'!$A$9=References!$A$3,'Annual Budget'!L53,IF('Cover Sheet'!$A$9=References!$A$4,SUM('Annual Budget'!L53,'Annual Budget'!T53),IF('Cover Sheet'!$A$9=References!$A$5,SUM('Annual Budget'!L53,'Annual Budget'!T53,'Annual Budget'!P53),SUM('Annual Budget'!L53,'Annual Budget'!T53,'Annual Budget'!P53,'Annual Budget'!X53))))</f>
        <v>30000</v>
      </c>
      <c r="Y48" s="66">
        <f t="shared" si="23"/>
        <v>30000</v>
      </c>
    </row>
    <row r="49" spans="1:25" ht="13.2" x14ac:dyDescent="0.25">
      <c r="A49" s="46"/>
      <c r="B49" s="46" t="s">
        <v>44</v>
      </c>
      <c r="C49" s="45"/>
      <c r="D49" s="64"/>
      <c r="E49" s="65"/>
      <c r="F49" s="64"/>
      <c r="G49" s="64"/>
      <c r="H49" s="64"/>
      <c r="I49" s="66">
        <f t="shared" si="24"/>
        <v>0</v>
      </c>
      <c r="J49" s="64"/>
      <c r="K49" s="64"/>
      <c r="L49" s="64"/>
      <c r="M49" s="66">
        <f t="shared" si="19"/>
        <v>0</v>
      </c>
      <c r="N49" s="64"/>
      <c r="O49" s="64"/>
      <c r="P49" s="64"/>
      <c r="Q49" s="66">
        <f t="shared" si="20"/>
        <v>0</v>
      </c>
      <c r="R49" s="64"/>
      <c r="S49" s="64"/>
      <c r="T49" s="64"/>
      <c r="U49" s="66">
        <f t="shared" si="21"/>
        <v>0</v>
      </c>
      <c r="V49" s="45"/>
      <c r="W49" s="54">
        <f t="shared" si="22"/>
        <v>0</v>
      </c>
      <c r="X49" s="66">
        <f>IF('Cover Sheet'!$A$9=References!$A$3,'Annual Budget'!L54,IF('Cover Sheet'!$A$9=References!$A$4,SUM('Annual Budget'!L54,'Annual Budget'!T54),IF('Cover Sheet'!$A$9=References!$A$5,SUM('Annual Budget'!L54,'Annual Budget'!T54,'Annual Budget'!P54),SUM('Annual Budget'!L54,'Annual Budget'!T54,'Annual Budget'!P54,'Annual Budget'!X54))))</f>
        <v>383000</v>
      </c>
      <c r="Y49" s="66">
        <f t="shared" si="23"/>
        <v>383000</v>
      </c>
    </row>
    <row r="50" spans="1:25" ht="13.2" x14ac:dyDescent="0.25">
      <c r="A50" s="46"/>
      <c r="B50" s="55" t="s">
        <v>45</v>
      </c>
      <c r="C50" s="45"/>
      <c r="D50" s="56">
        <f>SUM(D45:D49)</f>
        <v>0</v>
      </c>
      <c r="E50" s="57"/>
      <c r="F50" s="56">
        <f>SUM(F45:F49)</f>
        <v>0</v>
      </c>
      <c r="G50" s="56">
        <f>SUM(G45:G49)</f>
        <v>0</v>
      </c>
      <c r="H50" s="56">
        <f>SUM(H45:H49)</f>
        <v>0</v>
      </c>
      <c r="I50" s="56">
        <f t="shared" si="24"/>
        <v>0</v>
      </c>
      <c r="J50" s="56">
        <f>SUM(J45:J49)</f>
        <v>0</v>
      </c>
      <c r="K50" s="56">
        <f>SUM(K45:K49)</f>
        <v>0</v>
      </c>
      <c r="L50" s="56">
        <f>SUM(L45:L49)</f>
        <v>0</v>
      </c>
      <c r="M50" s="56">
        <f t="shared" si="19"/>
        <v>0</v>
      </c>
      <c r="N50" s="56">
        <f>SUM(N45:N49)</f>
        <v>0</v>
      </c>
      <c r="O50" s="56">
        <f>SUM(O45:O49)</f>
        <v>0</v>
      </c>
      <c r="P50" s="56">
        <f>SUM(P45:P49)</f>
        <v>0</v>
      </c>
      <c r="Q50" s="56">
        <f t="shared" si="20"/>
        <v>0</v>
      </c>
      <c r="R50" s="56">
        <f>SUM(R45:R49)</f>
        <v>0</v>
      </c>
      <c r="S50" s="56">
        <f>SUM(S45:S49)</f>
        <v>0</v>
      </c>
      <c r="T50" s="56">
        <f>SUM(T45:T49)</f>
        <v>0</v>
      </c>
      <c r="U50" s="56">
        <f t="shared" si="21"/>
        <v>0</v>
      </c>
      <c r="V50" s="45"/>
      <c r="W50" s="56">
        <f>SUM(W45:W49)</f>
        <v>0</v>
      </c>
      <c r="X50" s="56">
        <f>SUM(X45:X49)</f>
        <v>1300560</v>
      </c>
      <c r="Y50" s="56">
        <f t="shared" si="23"/>
        <v>1300560</v>
      </c>
    </row>
    <row r="51" spans="1:25" ht="13.2" x14ac:dyDescent="0.25">
      <c r="A51" s="46"/>
      <c r="B51" s="52"/>
      <c r="C51" s="45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45"/>
      <c r="W51" s="60"/>
      <c r="X51" s="60"/>
      <c r="Y51" s="60"/>
    </row>
    <row r="52" spans="1:25" ht="13.8" x14ac:dyDescent="0.3">
      <c r="A52" s="67" t="s">
        <v>46</v>
      </c>
      <c r="B52" s="46"/>
      <c r="C52" s="45"/>
      <c r="D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5"/>
      <c r="W52" s="46"/>
      <c r="X52" s="46"/>
      <c r="Y52" s="46"/>
    </row>
    <row r="53" spans="1:25" ht="13.2" x14ac:dyDescent="0.25">
      <c r="A53" s="46"/>
      <c r="B53" s="46" t="s">
        <v>47</v>
      </c>
      <c r="C53" s="45"/>
      <c r="D53" s="64"/>
      <c r="E53" s="65"/>
      <c r="F53" s="64"/>
      <c r="G53" s="64"/>
      <c r="H53" s="64"/>
      <c r="I53" s="66">
        <f t="shared" ref="I53" si="25">SUM(F53:H53)</f>
        <v>0</v>
      </c>
      <c r="J53" s="64"/>
      <c r="K53" s="64"/>
      <c r="L53" s="64"/>
      <c r="M53" s="66">
        <f t="shared" ref="M53:M60" si="26">SUM(J53:L53)</f>
        <v>0</v>
      </c>
      <c r="N53" s="64"/>
      <c r="O53" s="64"/>
      <c r="P53" s="64"/>
      <c r="Q53" s="66">
        <f t="shared" ref="Q53:Q60" si="27">SUM(N53:P53)</f>
        <v>0</v>
      </c>
      <c r="R53" s="64"/>
      <c r="S53" s="64"/>
      <c r="T53" s="64"/>
      <c r="U53" s="66">
        <f t="shared" ref="U53:U60" si="28">SUM(R53:T53)</f>
        <v>0</v>
      </c>
      <c r="V53" s="45"/>
      <c r="W53" s="54">
        <f t="shared" ref="W53:W59" si="29">SUM(I53,M53,Q53,U53)</f>
        <v>0</v>
      </c>
      <c r="X53" s="66">
        <f>IF('Cover Sheet'!$A$9=References!$A$3,'Annual Budget'!L58,IF('Cover Sheet'!$A$9=References!$A$4,SUM('Annual Budget'!L58,'Annual Budget'!T58),IF('Cover Sheet'!$A$9=References!$A$5,SUM('Annual Budget'!L58,'Annual Budget'!T58,'Annual Budget'!P58),SUM('Annual Budget'!L58,'Annual Budget'!T58,'Annual Budget'!P58,'Annual Budget'!X58))))</f>
        <v>97000</v>
      </c>
      <c r="Y53" s="66">
        <f t="shared" ref="Y53:Y60" si="30">X53-W53</f>
        <v>97000</v>
      </c>
    </row>
    <row r="54" spans="1:25" ht="13.2" x14ac:dyDescent="0.25">
      <c r="A54" s="46"/>
      <c r="B54" s="46" t="s">
        <v>48</v>
      </c>
      <c r="C54" s="45"/>
      <c r="D54" s="64"/>
      <c r="E54" s="65"/>
      <c r="F54" s="64"/>
      <c r="G54" s="64"/>
      <c r="H54" s="64"/>
      <c r="I54" s="66">
        <f t="shared" ref="I54:I60" si="31">SUM(F54:H54)</f>
        <v>0</v>
      </c>
      <c r="J54" s="64"/>
      <c r="K54" s="64"/>
      <c r="L54" s="64"/>
      <c r="M54" s="66">
        <f t="shared" si="26"/>
        <v>0</v>
      </c>
      <c r="N54" s="64"/>
      <c r="O54" s="64"/>
      <c r="P54" s="64"/>
      <c r="Q54" s="66">
        <f t="shared" si="27"/>
        <v>0</v>
      </c>
      <c r="R54" s="64"/>
      <c r="S54" s="64"/>
      <c r="T54" s="64"/>
      <c r="U54" s="66">
        <f t="shared" si="28"/>
        <v>0</v>
      </c>
      <c r="V54" s="45"/>
      <c r="W54" s="54">
        <f t="shared" si="29"/>
        <v>0</v>
      </c>
      <c r="X54" s="66">
        <f>IF('Cover Sheet'!$A$9=References!$A$3,'Annual Budget'!L59,IF('Cover Sheet'!$A$9=References!$A$4,SUM('Annual Budget'!L59,'Annual Budget'!T59),IF('Cover Sheet'!$A$9=References!$A$5,SUM('Annual Budget'!L59,'Annual Budget'!T59,'Annual Budget'!P59),SUM('Annual Budget'!L59,'Annual Budget'!T59,'Annual Budget'!P59,'Annual Budget'!X59))))</f>
        <v>81638</v>
      </c>
      <c r="Y54" s="66">
        <f t="shared" si="30"/>
        <v>81638</v>
      </c>
    </row>
    <row r="55" spans="1:25" ht="13.2" x14ac:dyDescent="0.25">
      <c r="A55" s="46"/>
      <c r="B55" s="46" t="s">
        <v>49</v>
      </c>
      <c r="C55" s="45"/>
      <c r="D55" s="64"/>
      <c r="E55" s="65"/>
      <c r="F55" s="64"/>
      <c r="G55" s="64"/>
      <c r="H55" s="64"/>
      <c r="I55" s="66">
        <f t="shared" si="31"/>
        <v>0</v>
      </c>
      <c r="J55" s="64"/>
      <c r="K55" s="64"/>
      <c r="L55" s="64"/>
      <c r="M55" s="66">
        <f t="shared" si="26"/>
        <v>0</v>
      </c>
      <c r="N55" s="64"/>
      <c r="O55" s="64"/>
      <c r="P55" s="64"/>
      <c r="Q55" s="66">
        <f t="shared" si="27"/>
        <v>0</v>
      </c>
      <c r="R55" s="64"/>
      <c r="S55" s="64"/>
      <c r="T55" s="64"/>
      <c r="U55" s="66">
        <f t="shared" si="28"/>
        <v>0</v>
      </c>
      <c r="V55" s="45"/>
      <c r="W55" s="54">
        <f t="shared" si="29"/>
        <v>0</v>
      </c>
      <c r="X55" s="66">
        <f>IF('Cover Sheet'!$A$9=References!$A$3,'Annual Budget'!L60,IF('Cover Sheet'!$A$9=References!$A$4,SUM('Annual Budget'!L60,'Annual Budget'!T60),IF('Cover Sheet'!$A$9=References!$A$5,SUM('Annual Budget'!L60,'Annual Budget'!T60,'Annual Budget'!P60),SUM('Annual Budget'!L60,'Annual Budget'!T60,'Annual Budget'!P60,'Annual Budget'!X60))))</f>
        <v>182013</v>
      </c>
      <c r="Y55" s="66">
        <f t="shared" si="30"/>
        <v>182013</v>
      </c>
    </row>
    <row r="56" spans="1:25" ht="13.2" x14ac:dyDescent="0.25">
      <c r="A56" s="46"/>
      <c r="B56" s="46" t="s">
        <v>50</v>
      </c>
      <c r="C56" s="45"/>
      <c r="D56" s="64"/>
      <c r="E56" s="65"/>
      <c r="F56" s="64"/>
      <c r="G56" s="64"/>
      <c r="H56" s="64"/>
      <c r="I56" s="66">
        <f t="shared" si="31"/>
        <v>0</v>
      </c>
      <c r="J56" s="64"/>
      <c r="K56" s="64"/>
      <c r="L56" s="64"/>
      <c r="M56" s="66">
        <f t="shared" si="26"/>
        <v>0</v>
      </c>
      <c r="N56" s="64"/>
      <c r="O56" s="64"/>
      <c r="P56" s="64"/>
      <c r="Q56" s="66">
        <f t="shared" si="27"/>
        <v>0</v>
      </c>
      <c r="R56" s="64"/>
      <c r="S56" s="64"/>
      <c r="T56" s="64"/>
      <c r="U56" s="66">
        <f t="shared" si="28"/>
        <v>0</v>
      </c>
      <c r="V56" s="45"/>
      <c r="W56" s="54">
        <f t="shared" si="29"/>
        <v>0</v>
      </c>
      <c r="X56" s="66">
        <f>IF('Cover Sheet'!$A$9=References!$A$3,'Annual Budget'!L61,IF('Cover Sheet'!$A$9=References!$A$4,SUM('Annual Budget'!L61,'Annual Budget'!T61),IF('Cover Sheet'!$A$9=References!$A$5,SUM('Annual Budget'!L61,'Annual Budget'!T61,'Annual Budget'!P61),SUM('Annual Budget'!L61,'Annual Budget'!T61,'Annual Budget'!P61,'Annual Budget'!X61))))</f>
        <v>750000</v>
      </c>
      <c r="Y56" s="66">
        <f t="shared" si="30"/>
        <v>750000</v>
      </c>
    </row>
    <row r="57" spans="1:25" ht="13.2" x14ac:dyDescent="0.25">
      <c r="A57" s="46"/>
      <c r="B57" s="46" t="s">
        <v>51</v>
      </c>
      <c r="C57" s="45"/>
      <c r="D57" s="64"/>
      <c r="E57" s="65"/>
      <c r="F57" s="64"/>
      <c r="G57" s="64"/>
      <c r="H57" s="64"/>
      <c r="I57" s="66">
        <f t="shared" si="31"/>
        <v>0</v>
      </c>
      <c r="J57" s="64"/>
      <c r="K57" s="64"/>
      <c r="L57" s="64"/>
      <c r="M57" s="66">
        <f t="shared" si="26"/>
        <v>0</v>
      </c>
      <c r="N57" s="64"/>
      <c r="O57" s="64"/>
      <c r="P57" s="64"/>
      <c r="Q57" s="66">
        <f t="shared" si="27"/>
        <v>0</v>
      </c>
      <c r="R57" s="64"/>
      <c r="S57" s="64"/>
      <c r="T57" s="64"/>
      <c r="U57" s="66">
        <f t="shared" si="28"/>
        <v>0</v>
      </c>
      <c r="V57" s="45"/>
      <c r="W57" s="54">
        <f t="shared" si="29"/>
        <v>0</v>
      </c>
      <c r="X57" s="66">
        <f>IF('Cover Sheet'!$A$9=References!$A$3,'Annual Budget'!L62,IF('Cover Sheet'!$A$9=References!$A$4,SUM('Annual Budget'!L62,'Annual Budget'!T62),IF('Cover Sheet'!$A$9=References!$A$5,SUM('Annual Budget'!L62,'Annual Budget'!T62,'Annual Budget'!P62),SUM('Annual Budget'!L62,'Annual Budget'!T62,'Annual Budget'!P62,'Annual Budget'!X62))))</f>
        <v>33000</v>
      </c>
      <c r="Y57" s="66">
        <f t="shared" si="30"/>
        <v>33000</v>
      </c>
    </row>
    <row r="58" spans="1:25" ht="13.2" x14ac:dyDescent="0.25">
      <c r="A58" s="46"/>
      <c r="B58" s="46" t="s">
        <v>52</v>
      </c>
      <c r="C58" s="45"/>
      <c r="D58" s="64"/>
      <c r="E58" s="65"/>
      <c r="F58" s="64"/>
      <c r="G58" s="64"/>
      <c r="H58" s="64"/>
      <c r="I58" s="66">
        <f t="shared" si="31"/>
        <v>0</v>
      </c>
      <c r="J58" s="64"/>
      <c r="K58" s="64"/>
      <c r="L58" s="64"/>
      <c r="M58" s="66">
        <f t="shared" si="26"/>
        <v>0</v>
      </c>
      <c r="N58" s="64"/>
      <c r="O58" s="64"/>
      <c r="P58" s="64"/>
      <c r="Q58" s="66">
        <f t="shared" si="27"/>
        <v>0</v>
      </c>
      <c r="R58" s="64"/>
      <c r="S58" s="64"/>
      <c r="T58" s="64"/>
      <c r="U58" s="66">
        <f t="shared" si="28"/>
        <v>0</v>
      </c>
      <c r="V58" s="45"/>
      <c r="W58" s="54">
        <f t="shared" si="29"/>
        <v>0</v>
      </c>
      <c r="X58" s="66">
        <f>IF('Cover Sheet'!$A$9=References!$A$3,'Annual Budget'!L63,IF('Cover Sheet'!$A$9=References!$A$4,SUM('Annual Budget'!L63,'Annual Budget'!T63),IF('Cover Sheet'!$A$9=References!$A$5,SUM('Annual Budget'!L63,'Annual Budget'!T63,'Annual Budget'!P63),SUM('Annual Budget'!L63,'Annual Budget'!T63,'Annual Budget'!P63,'Annual Budget'!X63))))</f>
        <v>9000</v>
      </c>
      <c r="Y58" s="66">
        <f t="shared" si="30"/>
        <v>9000</v>
      </c>
    </row>
    <row r="59" spans="1:25" ht="13.2" x14ac:dyDescent="0.25">
      <c r="A59" s="46"/>
      <c r="B59" s="46" t="s">
        <v>53</v>
      </c>
      <c r="C59" s="45"/>
      <c r="D59" s="64"/>
      <c r="E59" s="65"/>
      <c r="F59" s="64"/>
      <c r="G59" s="64"/>
      <c r="H59" s="64"/>
      <c r="I59" s="66">
        <f t="shared" si="31"/>
        <v>0</v>
      </c>
      <c r="J59" s="64"/>
      <c r="K59" s="64"/>
      <c r="L59" s="64"/>
      <c r="M59" s="66">
        <f t="shared" si="26"/>
        <v>0</v>
      </c>
      <c r="N59" s="64"/>
      <c r="O59" s="64"/>
      <c r="P59" s="64"/>
      <c r="Q59" s="66">
        <f t="shared" si="27"/>
        <v>0</v>
      </c>
      <c r="R59" s="64"/>
      <c r="S59" s="64"/>
      <c r="T59" s="64"/>
      <c r="U59" s="66">
        <f t="shared" si="28"/>
        <v>0</v>
      </c>
      <c r="V59" s="45"/>
      <c r="W59" s="54">
        <f t="shared" si="29"/>
        <v>0</v>
      </c>
      <c r="X59" s="66">
        <f>IF('Cover Sheet'!$A$9=References!$A$3,'Annual Budget'!L65,IF('Cover Sheet'!$A$9=References!$A$4,SUM('Annual Budget'!L65,'Annual Budget'!T65),IF('Cover Sheet'!$A$9=References!$A$5,SUM('Annual Budget'!L65,'Annual Budget'!T65,'Annual Budget'!P65),SUM('Annual Budget'!L65,'Annual Budget'!T65,'Annual Budget'!P65,'Annual Budget'!X65))))</f>
        <v>25000</v>
      </c>
      <c r="Y59" s="66">
        <f t="shared" si="30"/>
        <v>25000</v>
      </c>
    </row>
    <row r="60" spans="1:25" ht="13.2" x14ac:dyDescent="0.25">
      <c r="A60" s="46"/>
      <c r="B60" s="55" t="s">
        <v>54</v>
      </c>
      <c r="C60" s="45"/>
      <c r="D60" s="56">
        <f>SUM(D53:D59)</f>
        <v>0</v>
      </c>
      <c r="E60" s="57"/>
      <c r="F60" s="56">
        <f>SUM(F53:F59)</f>
        <v>0</v>
      </c>
      <c r="G60" s="56">
        <f t="shared" ref="G60:H60" si="32">SUM(G53:G59)</f>
        <v>0</v>
      </c>
      <c r="H60" s="56">
        <f t="shared" si="32"/>
        <v>0</v>
      </c>
      <c r="I60" s="56">
        <f t="shared" si="31"/>
        <v>0</v>
      </c>
      <c r="J60" s="56">
        <f>SUM(J53:J59)</f>
        <v>0</v>
      </c>
      <c r="K60" s="56">
        <f t="shared" ref="K60" si="33">SUM(K53:K59)</f>
        <v>0</v>
      </c>
      <c r="L60" s="56">
        <f t="shared" ref="L60" si="34">SUM(L53:L59)</f>
        <v>0</v>
      </c>
      <c r="M60" s="56">
        <f t="shared" si="26"/>
        <v>0</v>
      </c>
      <c r="N60" s="56">
        <f>SUM(N53:N59)</f>
        <v>0</v>
      </c>
      <c r="O60" s="56">
        <f t="shared" ref="O60" si="35">SUM(O53:O59)</f>
        <v>0</v>
      </c>
      <c r="P60" s="56">
        <f t="shared" ref="P60" si="36">SUM(P53:P59)</f>
        <v>0</v>
      </c>
      <c r="Q60" s="56">
        <f t="shared" si="27"/>
        <v>0</v>
      </c>
      <c r="R60" s="56">
        <f>SUM(R53:R59)</f>
        <v>0</v>
      </c>
      <c r="S60" s="56">
        <f t="shared" ref="S60" si="37">SUM(S53:S59)</f>
        <v>0</v>
      </c>
      <c r="T60" s="56">
        <f t="shared" ref="T60" si="38">SUM(T53:T59)</f>
        <v>0</v>
      </c>
      <c r="U60" s="56">
        <f t="shared" si="28"/>
        <v>0</v>
      </c>
      <c r="V60" s="45"/>
      <c r="W60" s="56">
        <f>SUM(W53:W59)</f>
        <v>0</v>
      </c>
      <c r="X60" s="56">
        <f>SUM(X53:X59)</f>
        <v>1177651</v>
      </c>
      <c r="Y60" s="56">
        <f t="shared" si="30"/>
        <v>1177651</v>
      </c>
    </row>
    <row r="61" spans="1:25" ht="13.2" x14ac:dyDescent="0.25">
      <c r="A61" s="46"/>
      <c r="B61" s="52"/>
      <c r="C61" s="45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45"/>
      <c r="W61" s="60"/>
      <c r="X61" s="60"/>
      <c r="Y61" s="60"/>
    </row>
    <row r="62" spans="1:25" ht="13.8" x14ac:dyDescent="0.3">
      <c r="A62" s="67" t="s">
        <v>55</v>
      </c>
      <c r="B62" s="46"/>
      <c r="C62" s="45"/>
      <c r="D62" s="66"/>
      <c r="E62" s="65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45"/>
      <c r="W62" s="66"/>
      <c r="X62" s="66"/>
      <c r="Y62" s="66"/>
    </row>
    <row r="63" spans="1:25" ht="13.2" x14ac:dyDescent="0.25">
      <c r="A63" s="46"/>
      <c r="B63" s="46" t="s">
        <v>56</v>
      </c>
      <c r="C63" s="45"/>
      <c r="D63" s="64"/>
      <c r="E63" s="65"/>
      <c r="F63" s="64"/>
      <c r="G63" s="64"/>
      <c r="H63" s="64"/>
      <c r="I63" s="66">
        <f t="shared" ref="I63:I69" si="39">SUM(F63:H63)</f>
        <v>0</v>
      </c>
      <c r="J63" s="64"/>
      <c r="K63" s="64"/>
      <c r="L63" s="64"/>
      <c r="M63" s="66">
        <f t="shared" ref="M63:M69" si="40">SUM(J63:L63)</f>
        <v>0</v>
      </c>
      <c r="N63" s="64"/>
      <c r="O63" s="64"/>
      <c r="P63" s="64"/>
      <c r="Q63" s="66">
        <f t="shared" ref="Q63:Q69" si="41">SUM(N63:P63)</f>
        <v>0</v>
      </c>
      <c r="R63" s="64"/>
      <c r="S63" s="64"/>
      <c r="T63" s="64"/>
      <c r="U63" s="66">
        <f t="shared" ref="U63:U69" si="42">SUM(R63:T63)</f>
        <v>0</v>
      </c>
      <c r="V63" s="45"/>
      <c r="W63" s="54">
        <f t="shared" ref="W63:W68" si="43">SUM(I63,M63,Q63,U63)</f>
        <v>0</v>
      </c>
      <c r="X63" s="66">
        <f>IF('Cover Sheet'!$A$9=References!$A$3,'Annual Budget'!L69,IF('Cover Sheet'!$A$9=References!$A$4,SUM('Annual Budget'!L69,'Annual Budget'!T69),IF('Cover Sheet'!$A$9=References!$A$5,SUM('Annual Budget'!L69,'Annual Budget'!T69,'Annual Budget'!P69),SUM('Annual Budget'!L69,'Annual Budget'!T69,'Annual Budget'!P69,'Annual Budget'!X69))))</f>
        <v>123589.08333333334</v>
      </c>
      <c r="Y63" s="66">
        <f t="shared" ref="Y63:Y71" si="44">X63-W63</f>
        <v>123589.08333333334</v>
      </c>
    </row>
    <row r="64" spans="1:25" ht="13.2" x14ac:dyDescent="0.25">
      <c r="A64" s="46"/>
      <c r="B64" s="46" t="s">
        <v>57</v>
      </c>
      <c r="C64" s="45"/>
      <c r="D64" s="64"/>
      <c r="E64" s="65"/>
      <c r="F64" s="64"/>
      <c r="G64" s="64"/>
      <c r="H64" s="64"/>
      <c r="I64" s="66">
        <f>SUM(F64:H64)</f>
        <v>0</v>
      </c>
      <c r="J64" s="64"/>
      <c r="K64" s="64"/>
      <c r="L64" s="64"/>
      <c r="M64" s="66">
        <f>SUM(J64:L64)</f>
        <v>0</v>
      </c>
      <c r="N64" s="64"/>
      <c r="O64" s="64"/>
      <c r="P64" s="64"/>
      <c r="Q64" s="66">
        <f>SUM(N64:P64)</f>
        <v>0</v>
      </c>
      <c r="R64" s="64"/>
      <c r="S64" s="64"/>
      <c r="T64" s="64"/>
      <c r="U64" s="66">
        <f>SUM(R64:T64)</f>
        <v>0</v>
      </c>
      <c r="V64" s="45"/>
      <c r="W64" s="54">
        <f>SUM(I64,M64,Q64,U64)</f>
        <v>0</v>
      </c>
      <c r="X64" s="66">
        <f>IF('Cover Sheet'!$A$9=References!$A$3,'Annual Budget'!L70,IF('Cover Sheet'!$A$9=References!$A$4,SUM('Annual Budget'!L70,'Annual Budget'!T70),IF('Cover Sheet'!$A$9=References!$A$5,SUM('Annual Budget'!L70,'Annual Budget'!T70,'Annual Budget'!P70),SUM('Annual Budget'!L70,'Annual Budget'!T70,'Annual Budget'!P70,'Annual Budget'!X70))))</f>
        <v>25000</v>
      </c>
      <c r="Y64" s="66">
        <f>X64-W64</f>
        <v>25000</v>
      </c>
    </row>
    <row r="65" spans="1:25" ht="13.2" x14ac:dyDescent="0.25">
      <c r="A65" s="46"/>
      <c r="B65" s="46" t="s">
        <v>161</v>
      </c>
      <c r="C65" s="45"/>
      <c r="D65" s="64"/>
      <c r="E65" s="65"/>
      <c r="F65" s="64"/>
      <c r="G65" s="64"/>
      <c r="H65" s="64"/>
      <c r="I65" s="66">
        <f t="shared" si="39"/>
        <v>0</v>
      </c>
      <c r="J65" s="64"/>
      <c r="K65" s="64"/>
      <c r="L65" s="64"/>
      <c r="M65" s="66">
        <f t="shared" si="40"/>
        <v>0</v>
      </c>
      <c r="N65" s="64"/>
      <c r="O65" s="64"/>
      <c r="P65" s="64"/>
      <c r="Q65" s="66">
        <f t="shared" si="41"/>
        <v>0</v>
      </c>
      <c r="R65" s="64"/>
      <c r="S65" s="64"/>
      <c r="T65" s="64"/>
      <c r="U65" s="66">
        <f t="shared" si="42"/>
        <v>0</v>
      </c>
      <c r="V65" s="45"/>
      <c r="W65" s="54">
        <f t="shared" si="43"/>
        <v>0</v>
      </c>
      <c r="X65" s="66">
        <f>IF('Cover Sheet'!$A$9=References!$A$3,'Annual Budget'!L72,IF('Cover Sheet'!$A$9=References!$A$4,SUM('Annual Budget'!L72,'Annual Budget'!T72),IF('Cover Sheet'!$A$9=References!$A$5,SUM('Annual Budget'!L72,'Annual Budget'!T72,'Annual Budget'!P72),SUM('Annual Budget'!L72,'Annual Budget'!T72,'Annual Budget'!P72,'Annual Budget'!X72))))</f>
        <v>198814.81160000002</v>
      </c>
      <c r="Y65" s="66">
        <f t="shared" si="44"/>
        <v>198814.81160000002</v>
      </c>
    </row>
    <row r="66" spans="1:25" ht="13.2" x14ac:dyDescent="0.25">
      <c r="A66" s="46"/>
      <c r="B66" s="46" t="s">
        <v>60</v>
      </c>
      <c r="C66" s="45"/>
      <c r="D66" s="64"/>
      <c r="E66" s="65"/>
      <c r="F66" s="64"/>
      <c r="G66" s="64"/>
      <c r="H66" s="64"/>
      <c r="I66" s="66">
        <f t="shared" si="39"/>
        <v>0</v>
      </c>
      <c r="J66" s="64"/>
      <c r="K66" s="64"/>
      <c r="L66" s="64"/>
      <c r="M66" s="66">
        <f t="shared" si="40"/>
        <v>0</v>
      </c>
      <c r="N66" s="64"/>
      <c r="O66" s="64"/>
      <c r="P66" s="64"/>
      <c r="Q66" s="66">
        <f t="shared" si="41"/>
        <v>0</v>
      </c>
      <c r="R66" s="64"/>
      <c r="S66" s="64"/>
      <c r="T66" s="64"/>
      <c r="U66" s="66">
        <f t="shared" si="42"/>
        <v>0</v>
      </c>
      <c r="V66" s="45"/>
      <c r="W66" s="54">
        <f t="shared" si="43"/>
        <v>0</v>
      </c>
      <c r="X66" s="66">
        <f>IF('Cover Sheet'!$A$9=References!$A$3,'Annual Budget'!L73,IF('Cover Sheet'!$A$9=References!$A$4,SUM('Annual Budget'!L73,'Annual Budget'!T73),IF('Cover Sheet'!$A$9=References!$A$5,SUM('Annual Budget'!L73,'Annual Budget'!T73,'Annual Budget'!P73),SUM('Annual Budget'!L73,'Annual Budget'!T73,'Annual Budget'!P73,'Annual Budget'!X73))))</f>
        <v>0</v>
      </c>
      <c r="Y66" s="66">
        <f t="shared" si="44"/>
        <v>0</v>
      </c>
    </row>
    <row r="67" spans="1:25" ht="13.2" x14ac:dyDescent="0.25">
      <c r="A67" s="46"/>
      <c r="B67" s="46" t="s">
        <v>68</v>
      </c>
      <c r="C67" s="45"/>
      <c r="D67" s="64"/>
      <c r="E67" s="65"/>
      <c r="F67" s="64"/>
      <c r="G67" s="64"/>
      <c r="H67" s="64"/>
      <c r="I67" s="66">
        <f t="shared" si="39"/>
        <v>0</v>
      </c>
      <c r="J67" s="64"/>
      <c r="K67" s="64"/>
      <c r="L67" s="64"/>
      <c r="M67" s="66">
        <f t="shared" si="40"/>
        <v>0</v>
      </c>
      <c r="N67" s="64"/>
      <c r="O67" s="64"/>
      <c r="P67" s="64"/>
      <c r="Q67" s="66">
        <f t="shared" si="41"/>
        <v>0</v>
      </c>
      <c r="R67" s="64"/>
      <c r="S67" s="64"/>
      <c r="T67" s="64"/>
      <c r="U67" s="66">
        <f t="shared" si="42"/>
        <v>0</v>
      </c>
      <c r="V67" s="45"/>
      <c r="W67" s="54">
        <f t="shared" si="43"/>
        <v>0</v>
      </c>
      <c r="X67" s="66">
        <f>IF('Cover Sheet'!$A$9=References!$A$3,'Annual Budget'!L74,IF('Cover Sheet'!$A$9=References!$A$4,SUM('Annual Budget'!L74,'Annual Budget'!T74),IF('Cover Sheet'!$A$9=References!$A$5,SUM('Annual Budget'!L74,'Annual Budget'!T74,'Annual Budget'!P74),SUM('Annual Budget'!L74,'Annual Budget'!T74,'Annual Budget'!P74,'Annual Budget'!X74))))</f>
        <v>495000</v>
      </c>
      <c r="Y67" s="66">
        <f t="shared" si="44"/>
        <v>495000</v>
      </c>
    </row>
    <row r="68" spans="1:25" ht="13.2" x14ac:dyDescent="0.25">
      <c r="A68" s="46"/>
      <c r="B68" s="46" t="s">
        <v>61</v>
      </c>
      <c r="C68" s="45"/>
      <c r="D68" s="64"/>
      <c r="E68" s="65"/>
      <c r="F68" s="64"/>
      <c r="G68" s="64"/>
      <c r="H68" s="64"/>
      <c r="I68" s="66">
        <f t="shared" si="39"/>
        <v>0</v>
      </c>
      <c r="J68" s="64"/>
      <c r="K68" s="64"/>
      <c r="L68" s="64"/>
      <c r="M68" s="66">
        <f t="shared" si="40"/>
        <v>0</v>
      </c>
      <c r="N68" s="64"/>
      <c r="O68" s="64"/>
      <c r="P68" s="64"/>
      <c r="Q68" s="66">
        <f t="shared" si="41"/>
        <v>0</v>
      </c>
      <c r="R68" s="64"/>
      <c r="S68" s="64"/>
      <c r="T68" s="64"/>
      <c r="U68" s="66">
        <f t="shared" si="42"/>
        <v>0</v>
      </c>
      <c r="V68" s="45"/>
      <c r="W68" s="54">
        <f t="shared" si="43"/>
        <v>0</v>
      </c>
      <c r="X68" s="66">
        <f>IF('Cover Sheet'!$A$9=References!$A$3,'Annual Budget'!L75,IF('Cover Sheet'!$A$9=References!$A$4,SUM('Annual Budget'!L75,'Annual Budget'!T75),IF('Cover Sheet'!$A$9=References!$A$5,SUM('Annual Budget'!L75,'Annual Budget'!T75,'Annual Budget'!P75),SUM('Annual Budget'!L75,'Annual Budget'!T75,'Annual Budget'!P75,'Annual Budget'!X75))))</f>
        <v>125000</v>
      </c>
      <c r="Y68" s="66">
        <f t="shared" si="44"/>
        <v>125000</v>
      </c>
    </row>
    <row r="69" spans="1:25" ht="13.2" x14ac:dyDescent="0.25">
      <c r="A69" s="46"/>
      <c r="B69" s="68" t="s">
        <v>62</v>
      </c>
      <c r="C69" s="45"/>
      <c r="D69" s="69">
        <f>SUM(D63:D68)</f>
        <v>0</v>
      </c>
      <c r="E69" s="57"/>
      <c r="F69" s="69">
        <f>SUM(F63:F68)</f>
        <v>0</v>
      </c>
      <c r="G69" s="69">
        <f>SUM(G63:G68)</f>
        <v>0</v>
      </c>
      <c r="H69" s="69">
        <f>SUM(H63:H68)</f>
        <v>0</v>
      </c>
      <c r="I69" s="69">
        <f t="shared" si="39"/>
        <v>0</v>
      </c>
      <c r="J69" s="69">
        <f>SUM(J63:J68)</f>
        <v>0</v>
      </c>
      <c r="K69" s="69">
        <f>SUM(K63:K68)</f>
        <v>0</v>
      </c>
      <c r="L69" s="69">
        <f>SUM(L63:L68)</f>
        <v>0</v>
      </c>
      <c r="M69" s="69">
        <f t="shared" si="40"/>
        <v>0</v>
      </c>
      <c r="N69" s="69">
        <f>SUM(N63:N68)</f>
        <v>0</v>
      </c>
      <c r="O69" s="69">
        <f>SUM(O63:O68)</f>
        <v>0</v>
      </c>
      <c r="P69" s="69">
        <f>SUM(P63:P68)</f>
        <v>0</v>
      </c>
      <c r="Q69" s="69">
        <f t="shared" si="41"/>
        <v>0</v>
      </c>
      <c r="R69" s="69">
        <f>SUM(R63:R68)</f>
        <v>0</v>
      </c>
      <c r="S69" s="69">
        <f>SUM(S63:S68)</f>
        <v>0</v>
      </c>
      <c r="T69" s="69">
        <f>SUM(T63:T68)</f>
        <v>0</v>
      </c>
      <c r="U69" s="69">
        <f t="shared" si="42"/>
        <v>0</v>
      </c>
      <c r="V69" s="45"/>
      <c r="W69" s="69">
        <f>SUM(W63:W68)</f>
        <v>0</v>
      </c>
      <c r="X69" s="69">
        <f>SUM(X63:X68)</f>
        <v>967403.89493333339</v>
      </c>
      <c r="Y69" s="69">
        <f t="shared" si="44"/>
        <v>967403.89493333339</v>
      </c>
    </row>
    <row r="70" spans="1:25" ht="13.2" x14ac:dyDescent="0.25">
      <c r="A70" s="46"/>
      <c r="B70" s="55" t="s">
        <v>63</v>
      </c>
      <c r="C70" s="45"/>
      <c r="D70" s="56">
        <f>D69+D60+D50+D42+D32</f>
        <v>0</v>
      </c>
      <c r="E70" s="57"/>
      <c r="F70" s="56">
        <f t="shared" ref="F70:U70" si="45">F69+F60+F50+F42+F32</f>
        <v>0</v>
      </c>
      <c r="G70" s="56">
        <f t="shared" si="45"/>
        <v>0</v>
      </c>
      <c r="H70" s="56">
        <f t="shared" si="45"/>
        <v>0</v>
      </c>
      <c r="I70" s="56">
        <f t="shared" si="45"/>
        <v>0</v>
      </c>
      <c r="J70" s="56">
        <f t="shared" si="45"/>
        <v>0</v>
      </c>
      <c r="K70" s="56">
        <f t="shared" si="45"/>
        <v>0</v>
      </c>
      <c r="L70" s="56">
        <f t="shared" si="45"/>
        <v>0</v>
      </c>
      <c r="M70" s="56">
        <f t="shared" si="45"/>
        <v>0</v>
      </c>
      <c r="N70" s="56">
        <f t="shared" si="45"/>
        <v>0</v>
      </c>
      <c r="O70" s="56">
        <f t="shared" si="45"/>
        <v>0</v>
      </c>
      <c r="P70" s="56">
        <f t="shared" si="45"/>
        <v>0</v>
      </c>
      <c r="Q70" s="56">
        <f t="shared" si="45"/>
        <v>0</v>
      </c>
      <c r="R70" s="56">
        <f t="shared" si="45"/>
        <v>0</v>
      </c>
      <c r="S70" s="56">
        <f t="shared" si="45"/>
        <v>0</v>
      </c>
      <c r="T70" s="56">
        <f t="shared" si="45"/>
        <v>0</v>
      </c>
      <c r="U70" s="70">
        <f t="shared" si="45"/>
        <v>0</v>
      </c>
      <c r="V70" s="45"/>
      <c r="W70" s="70">
        <f>W69+W60+W50+W42+W32</f>
        <v>0</v>
      </c>
      <c r="X70" s="70" t="e">
        <f>X69+X60+X50+X42+X32</f>
        <v>#REF!</v>
      </c>
      <c r="Y70" s="56" t="e">
        <f t="shared" si="44"/>
        <v>#REF!</v>
      </c>
    </row>
    <row r="71" spans="1:25" ht="12.75" customHeight="1" x14ac:dyDescent="0.25">
      <c r="A71" s="58" t="s">
        <v>64</v>
      </c>
      <c r="B71" s="55"/>
      <c r="C71" s="45"/>
      <c r="D71" s="56">
        <f>D14-D70</f>
        <v>0</v>
      </c>
      <c r="E71" s="57"/>
      <c r="F71" s="56">
        <f t="shared" ref="F71:U71" si="46">F14-F70</f>
        <v>0</v>
      </c>
      <c r="G71" s="56">
        <f t="shared" si="46"/>
        <v>0</v>
      </c>
      <c r="H71" s="56">
        <f t="shared" si="46"/>
        <v>0</v>
      </c>
      <c r="I71" s="56">
        <f t="shared" si="46"/>
        <v>0</v>
      </c>
      <c r="J71" s="56">
        <f t="shared" si="46"/>
        <v>0</v>
      </c>
      <c r="K71" s="56">
        <f t="shared" si="46"/>
        <v>0</v>
      </c>
      <c r="L71" s="56">
        <f t="shared" si="46"/>
        <v>0</v>
      </c>
      <c r="M71" s="56">
        <f t="shared" si="46"/>
        <v>0</v>
      </c>
      <c r="N71" s="56">
        <f t="shared" si="46"/>
        <v>0</v>
      </c>
      <c r="O71" s="56">
        <f t="shared" si="46"/>
        <v>0</v>
      </c>
      <c r="P71" s="56">
        <f t="shared" si="46"/>
        <v>0</v>
      </c>
      <c r="Q71" s="56">
        <f t="shared" si="46"/>
        <v>0</v>
      </c>
      <c r="R71" s="56">
        <f t="shared" si="46"/>
        <v>0</v>
      </c>
      <c r="S71" s="56">
        <f t="shared" si="46"/>
        <v>0</v>
      </c>
      <c r="T71" s="56">
        <f t="shared" si="46"/>
        <v>0</v>
      </c>
      <c r="U71" s="56">
        <f t="shared" si="46"/>
        <v>0</v>
      </c>
      <c r="V71" s="45"/>
      <c r="W71" s="56">
        <f>W14-W70</f>
        <v>0</v>
      </c>
      <c r="X71" s="56" t="e">
        <f>X14-X70</f>
        <v>#REF!</v>
      </c>
      <c r="Y71" s="56" t="e">
        <f t="shared" si="44"/>
        <v>#REF!</v>
      </c>
    </row>
    <row r="72" spans="1:25" ht="12.75" customHeight="1" x14ac:dyDescent="0.25">
      <c r="A72" s="58"/>
      <c r="B72" s="52"/>
      <c r="C72" s="45"/>
      <c r="D72" s="71"/>
      <c r="E72" s="57"/>
      <c r="F72" s="71"/>
      <c r="G72" s="71"/>
      <c r="H72" s="71"/>
      <c r="I72" s="57"/>
      <c r="J72" s="71"/>
      <c r="K72" s="71"/>
      <c r="L72" s="71"/>
      <c r="M72" s="57"/>
      <c r="N72" s="71"/>
      <c r="O72" s="71"/>
      <c r="P72" s="71"/>
      <c r="Q72" s="57"/>
      <c r="R72" s="71"/>
      <c r="S72" s="71"/>
      <c r="T72" s="71"/>
      <c r="U72" s="57"/>
      <c r="V72" s="45"/>
      <c r="W72" s="57"/>
      <c r="X72" s="57"/>
      <c r="Y72" s="57"/>
    </row>
    <row r="73" spans="1:25" ht="12.75" customHeight="1" x14ac:dyDescent="0.25">
      <c r="A73" s="46"/>
      <c r="B73" s="46" t="s">
        <v>170</v>
      </c>
      <c r="C73" s="45"/>
      <c r="D73" s="64"/>
      <c r="E73" s="65"/>
      <c r="F73" s="64"/>
      <c r="G73" s="64"/>
      <c r="H73" s="64"/>
      <c r="I73" s="66">
        <f>SUM(F73:H73)</f>
        <v>0</v>
      </c>
      <c r="J73" s="64"/>
      <c r="K73" s="64"/>
      <c r="L73" s="64"/>
      <c r="M73" s="66">
        <f>SUM(J73:L73)</f>
        <v>0</v>
      </c>
      <c r="N73" s="64"/>
      <c r="O73" s="64"/>
      <c r="P73" s="64"/>
      <c r="Q73" s="66">
        <f>SUM(N73:P73)</f>
        <v>0</v>
      </c>
      <c r="R73" s="64"/>
      <c r="S73" s="64"/>
      <c r="T73" s="64"/>
      <c r="U73" s="66">
        <f>SUM(R73:T73)</f>
        <v>0</v>
      </c>
      <c r="V73" s="45"/>
      <c r="W73" s="54">
        <f>SUM(I73,M73,Q73,U73)</f>
        <v>0</v>
      </c>
      <c r="X73" s="54">
        <f>SUM(J73,N73,R73,V73)</f>
        <v>0</v>
      </c>
      <c r="Y73" s="66">
        <f>X73-W73</f>
        <v>0</v>
      </c>
    </row>
    <row r="74" spans="1:25" ht="12.75" customHeight="1" x14ac:dyDescent="0.25">
      <c r="A74" s="46"/>
      <c r="B74" s="46" t="s">
        <v>65</v>
      </c>
      <c r="C74" s="45"/>
      <c r="D74" s="64"/>
      <c r="E74" s="65"/>
      <c r="F74" s="64"/>
      <c r="G74" s="64"/>
      <c r="H74" s="64"/>
      <c r="I74" s="66">
        <f t="shared" ref="I74" si="47">SUM(F74:H74)</f>
        <v>0</v>
      </c>
      <c r="J74" s="64"/>
      <c r="K74" s="64"/>
      <c r="L74" s="64"/>
      <c r="M74" s="66">
        <f t="shared" ref="M74" si="48">SUM(J74:L74)</f>
        <v>0</v>
      </c>
      <c r="N74" s="64"/>
      <c r="O74" s="64"/>
      <c r="P74" s="64"/>
      <c r="Q74" s="66">
        <f t="shared" ref="Q74" si="49">SUM(N74:P74)</f>
        <v>0</v>
      </c>
      <c r="R74" s="64"/>
      <c r="S74" s="64"/>
      <c r="T74" s="64"/>
      <c r="U74" s="66">
        <f t="shared" ref="U74" si="50">SUM(R74:T74)</f>
        <v>0</v>
      </c>
      <c r="V74" s="45"/>
      <c r="W74" s="54">
        <f t="shared" ref="W74:X74" si="51">SUM(I74,M74,Q74,U74)</f>
        <v>0</v>
      </c>
      <c r="X74" s="54">
        <f t="shared" si="51"/>
        <v>0</v>
      </c>
      <c r="Y74" s="66">
        <f t="shared" ref="Y74:Y75" si="52">X74-W74</f>
        <v>0</v>
      </c>
    </row>
    <row r="75" spans="1:25" ht="13.2" x14ac:dyDescent="0.25">
      <c r="A75" s="58" t="s">
        <v>66</v>
      </c>
      <c r="B75" s="55"/>
      <c r="C75" s="45"/>
      <c r="D75" s="56">
        <f>D71-D74</f>
        <v>0</v>
      </c>
      <c r="E75" s="57"/>
      <c r="F75" s="56">
        <f t="shared" ref="F75:U75" si="53">F71-F74</f>
        <v>0</v>
      </c>
      <c r="G75" s="56">
        <f t="shared" si="53"/>
        <v>0</v>
      </c>
      <c r="H75" s="56">
        <f t="shared" si="53"/>
        <v>0</v>
      </c>
      <c r="I75" s="56">
        <f t="shared" si="53"/>
        <v>0</v>
      </c>
      <c r="J75" s="56">
        <f t="shared" si="53"/>
        <v>0</v>
      </c>
      <c r="K75" s="56">
        <f t="shared" si="53"/>
        <v>0</v>
      </c>
      <c r="L75" s="56">
        <f t="shared" si="53"/>
        <v>0</v>
      </c>
      <c r="M75" s="56">
        <f t="shared" si="53"/>
        <v>0</v>
      </c>
      <c r="N75" s="56">
        <f t="shared" si="53"/>
        <v>0</v>
      </c>
      <c r="O75" s="56">
        <f t="shared" si="53"/>
        <v>0</v>
      </c>
      <c r="P75" s="56">
        <f t="shared" si="53"/>
        <v>0</v>
      </c>
      <c r="Q75" s="56">
        <f t="shared" si="53"/>
        <v>0</v>
      </c>
      <c r="R75" s="56">
        <f t="shared" si="53"/>
        <v>0</v>
      </c>
      <c r="S75" s="56">
        <f t="shared" si="53"/>
        <v>0</v>
      </c>
      <c r="T75" s="56">
        <f t="shared" si="53"/>
        <v>0</v>
      </c>
      <c r="U75" s="56">
        <f t="shared" si="53"/>
        <v>0</v>
      </c>
      <c r="V75" s="45"/>
      <c r="W75" s="56">
        <f>W71-W74</f>
        <v>0</v>
      </c>
      <c r="X75" s="56" t="e">
        <f>X71-X74</f>
        <v>#REF!</v>
      </c>
      <c r="Y75" s="79" t="e">
        <f t="shared" si="52"/>
        <v>#REF!</v>
      </c>
    </row>
    <row r="77" spans="1:25" ht="12.75" customHeight="1" x14ac:dyDescent="0.25">
      <c r="A77" s="52" t="s">
        <v>162</v>
      </c>
    </row>
    <row r="78" spans="1:25" ht="12.75" customHeight="1" x14ac:dyDescent="0.25">
      <c r="B78" s="43" t="s">
        <v>163</v>
      </c>
      <c r="D78" s="64"/>
      <c r="F78" s="64"/>
      <c r="G78" s="64"/>
      <c r="H78" s="64"/>
      <c r="I78" s="66">
        <f t="shared" ref="I78:I81" si="54">SUM(F78:H78)</f>
        <v>0</v>
      </c>
      <c r="J78" s="64"/>
      <c r="K78" s="64"/>
      <c r="L78" s="64"/>
      <c r="M78" s="66">
        <f t="shared" ref="M78:M81" si="55">SUM(J78:L78)</f>
        <v>0</v>
      </c>
      <c r="N78" s="64"/>
      <c r="O78" s="64"/>
      <c r="P78" s="64"/>
      <c r="Q78" s="66">
        <f t="shared" ref="Q78:Q81" si="56">SUM(N78:P78)</f>
        <v>0</v>
      </c>
      <c r="R78" s="64"/>
      <c r="S78" s="64"/>
      <c r="T78" s="64"/>
      <c r="U78" s="66">
        <f t="shared" ref="U78:U81" si="57">SUM(R78:T78)</f>
        <v>0</v>
      </c>
    </row>
    <row r="79" spans="1:25" ht="12.75" customHeight="1" x14ac:dyDescent="0.25">
      <c r="B79" s="43" t="s">
        <v>164</v>
      </c>
      <c r="D79" s="64"/>
      <c r="F79" s="64"/>
      <c r="G79" s="64"/>
      <c r="H79" s="64"/>
      <c r="I79" s="66">
        <f t="shared" si="54"/>
        <v>0</v>
      </c>
      <c r="J79" s="64"/>
      <c r="K79" s="64"/>
      <c r="L79" s="64"/>
      <c r="M79" s="66">
        <f t="shared" si="55"/>
        <v>0</v>
      </c>
      <c r="N79" s="64"/>
      <c r="O79" s="64"/>
      <c r="P79" s="64"/>
      <c r="Q79" s="66">
        <f t="shared" si="56"/>
        <v>0</v>
      </c>
      <c r="R79" s="64"/>
      <c r="S79" s="64"/>
      <c r="T79" s="64"/>
      <c r="U79" s="66">
        <f t="shared" si="57"/>
        <v>0</v>
      </c>
    </row>
    <row r="80" spans="1:25" ht="12.75" customHeight="1" x14ac:dyDescent="0.25">
      <c r="B80" s="43" t="s">
        <v>165</v>
      </c>
      <c r="D80" s="64"/>
      <c r="F80" s="64"/>
      <c r="G80" s="64"/>
      <c r="H80" s="64"/>
      <c r="I80" s="66">
        <f t="shared" si="54"/>
        <v>0</v>
      </c>
      <c r="J80" s="64"/>
      <c r="K80" s="64"/>
      <c r="L80" s="64"/>
      <c r="M80" s="66">
        <f t="shared" si="55"/>
        <v>0</v>
      </c>
      <c r="N80" s="64"/>
      <c r="O80" s="64"/>
      <c r="P80" s="64"/>
      <c r="Q80" s="66">
        <f t="shared" si="56"/>
        <v>0</v>
      </c>
      <c r="R80" s="64"/>
      <c r="S80" s="64"/>
      <c r="T80" s="64"/>
      <c r="U80" s="66">
        <f t="shared" si="57"/>
        <v>0</v>
      </c>
    </row>
    <row r="81" spans="1:21" ht="12.75" customHeight="1" x14ac:dyDescent="0.25">
      <c r="A81" s="61" t="s">
        <v>166</v>
      </c>
      <c r="D81" s="47">
        <f>SUM(D78:D80,D75)</f>
        <v>0</v>
      </c>
      <c r="F81" s="47">
        <f>SUM(F78:F80,F75)</f>
        <v>0</v>
      </c>
      <c r="G81" s="47">
        <f>SUM(G78:G80,G75)</f>
        <v>0</v>
      </c>
      <c r="H81" s="47">
        <f>SUM(H78:H80,H75)</f>
        <v>0</v>
      </c>
      <c r="I81" s="66">
        <f t="shared" si="54"/>
        <v>0</v>
      </c>
      <c r="J81" s="47">
        <f t="shared" ref="J81:L81" si="58">SUM(J78:J80,J75)</f>
        <v>0</v>
      </c>
      <c r="K81" s="47">
        <f t="shared" si="58"/>
        <v>0</v>
      </c>
      <c r="L81" s="47">
        <f t="shared" si="58"/>
        <v>0</v>
      </c>
      <c r="M81" s="66">
        <f t="shared" si="55"/>
        <v>0</v>
      </c>
      <c r="N81" s="47">
        <f t="shared" ref="N81" si="59">SUM(N78:N80,N75)</f>
        <v>0</v>
      </c>
      <c r="O81" s="47">
        <f t="shared" ref="O81" si="60">SUM(O78:O80,O75)</f>
        <v>0</v>
      </c>
      <c r="P81" s="47">
        <f t="shared" ref="P81" si="61">SUM(P78:P80,P75)</f>
        <v>0</v>
      </c>
      <c r="Q81" s="66">
        <f t="shared" si="56"/>
        <v>0</v>
      </c>
      <c r="R81" s="47">
        <f t="shared" ref="R81" si="62">SUM(R78:R80,R75)</f>
        <v>0</v>
      </c>
      <c r="S81" s="47">
        <f t="shared" ref="S81" si="63">SUM(S78:S80,S75)</f>
        <v>0</v>
      </c>
      <c r="T81" s="47">
        <f t="shared" ref="T81" si="64">SUM(T78:T80,T75)</f>
        <v>0</v>
      </c>
      <c r="U81" s="66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/>
  </sheetViews>
  <sheetFormatPr defaultColWidth="9.109375" defaultRowHeight="13.2" x14ac:dyDescent="0.25"/>
  <cols>
    <col min="1" max="1" width="2" style="73" customWidth="1"/>
    <col min="2" max="2" width="9.109375" style="73"/>
    <col min="3" max="3" width="20.109375" style="73" customWidth="1"/>
    <col min="4" max="4" width="12.33203125" style="73" customWidth="1"/>
    <col min="5" max="5" width="11.33203125" style="73" customWidth="1"/>
    <col min="6" max="6" width="9.109375" style="73"/>
    <col min="7" max="7" width="19.6640625" style="73" customWidth="1"/>
    <col min="8" max="8" width="20" style="73" customWidth="1"/>
    <col min="9" max="9" width="25.109375" style="73" customWidth="1"/>
    <col min="10" max="10" width="27" style="73" customWidth="1"/>
    <col min="11" max="16384" width="9.109375" style="73"/>
  </cols>
  <sheetData>
    <row r="1" spans="1:10" x14ac:dyDescent="0.25">
      <c r="A1" s="72" t="str">
        <f>'Cover Sheet'!A2</f>
        <v>Enter School Name: Eagle Academy PCS</v>
      </c>
    </row>
    <row r="2" spans="1:10" x14ac:dyDescent="0.25">
      <c r="A2" s="43" t="str">
        <f>'Cover Sheet'!A8&amp;" "&amp;'Cover Sheet'!$A$9&amp;" Balance Sheet"</f>
        <v>Enter Fiscal Year: 2016-2017SY Enter Period Balance Sheet</v>
      </c>
    </row>
    <row r="3" spans="1:10" x14ac:dyDescent="0.25">
      <c r="B3" s="131"/>
      <c r="C3" s="131"/>
      <c r="D3" s="131"/>
      <c r="E3" s="131"/>
      <c r="F3" s="131"/>
      <c r="G3" s="131"/>
      <c r="H3" s="80"/>
      <c r="I3" s="80"/>
      <c r="J3" s="80"/>
    </row>
    <row r="4" spans="1:10" x14ac:dyDescent="0.25">
      <c r="B4" s="80"/>
      <c r="C4" s="80"/>
      <c r="D4" s="80"/>
      <c r="E4" s="81" t="s">
        <v>145</v>
      </c>
      <c r="F4" s="82"/>
      <c r="G4" s="81" t="s">
        <v>113</v>
      </c>
      <c r="H4" s="81" t="s">
        <v>114</v>
      </c>
      <c r="I4" s="81" t="s">
        <v>115</v>
      </c>
      <c r="J4" s="81" t="s">
        <v>116</v>
      </c>
    </row>
    <row r="5" spans="1:10" ht="13.8" thickBot="1" x14ac:dyDescent="0.3">
      <c r="B5" s="80"/>
      <c r="C5" s="80"/>
      <c r="D5" s="80"/>
      <c r="E5" s="83" t="s">
        <v>183</v>
      </c>
      <c r="F5" s="84"/>
      <c r="G5" s="83" t="s">
        <v>117</v>
      </c>
      <c r="H5" s="83" t="s">
        <v>118</v>
      </c>
      <c r="I5" s="83" t="s">
        <v>119</v>
      </c>
      <c r="J5" s="83" t="s">
        <v>120</v>
      </c>
    </row>
    <row r="6" spans="1:10" x14ac:dyDescent="0.25">
      <c r="A6" s="96" t="s">
        <v>121</v>
      </c>
      <c r="B6" s="85"/>
      <c r="C6" s="85"/>
      <c r="E6" s="86"/>
      <c r="F6" s="84"/>
      <c r="G6" s="86"/>
      <c r="H6" s="86"/>
      <c r="I6" s="86"/>
      <c r="J6" s="86"/>
    </row>
    <row r="7" spans="1:10" x14ac:dyDescent="0.25">
      <c r="B7" s="80"/>
      <c r="C7" s="80"/>
      <c r="D7" s="80"/>
      <c r="E7" s="80"/>
      <c r="F7" s="80"/>
      <c r="G7" s="80"/>
      <c r="H7" s="80"/>
      <c r="I7" s="80"/>
      <c r="J7" s="80"/>
    </row>
    <row r="8" spans="1:10" x14ac:dyDescent="0.25">
      <c r="B8" s="93" t="s">
        <v>155</v>
      </c>
      <c r="C8" s="87"/>
      <c r="D8" s="85"/>
      <c r="E8" s="88"/>
      <c r="F8" s="88"/>
      <c r="G8" s="89"/>
      <c r="H8" s="89"/>
      <c r="I8" s="89"/>
      <c r="J8" s="89"/>
    </row>
    <row r="9" spans="1:10" x14ac:dyDescent="0.25">
      <c r="B9" s="97" t="s">
        <v>122</v>
      </c>
      <c r="D9" s="90"/>
      <c r="E9" s="64">
        <v>0</v>
      </c>
      <c r="F9" s="91"/>
      <c r="G9" s="64">
        <v>0</v>
      </c>
      <c r="H9" s="64">
        <v>0</v>
      </c>
      <c r="I9" s="64">
        <v>0</v>
      </c>
      <c r="J9" s="64">
        <v>0</v>
      </c>
    </row>
    <row r="10" spans="1:10" x14ac:dyDescent="0.25">
      <c r="B10" s="97" t="s">
        <v>123</v>
      </c>
      <c r="D10" s="90"/>
      <c r="E10" s="64">
        <v>0</v>
      </c>
      <c r="F10" s="92"/>
      <c r="G10" s="64">
        <v>0</v>
      </c>
      <c r="H10" s="64">
        <v>0</v>
      </c>
      <c r="I10" s="64">
        <v>0</v>
      </c>
      <c r="J10" s="64">
        <v>0</v>
      </c>
    </row>
    <row r="11" spans="1:10" x14ac:dyDescent="0.25">
      <c r="B11" s="97" t="s">
        <v>142</v>
      </c>
      <c r="D11" s="90"/>
      <c r="E11" s="64">
        <v>0</v>
      </c>
      <c r="F11" s="92"/>
      <c r="G11" s="64">
        <v>0</v>
      </c>
      <c r="H11" s="64">
        <v>0</v>
      </c>
      <c r="I11" s="64">
        <v>0</v>
      </c>
      <c r="J11" s="64">
        <v>0</v>
      </c>
    </row>
    <row r="12" spans="1:10" x14ac:dyDescent="0.25">
      <c r="B12" s="97" t="s">
        <v>141</v>
      </c>
      <c r="D12" s="90"/>
      <c r="E12" s="64">
        <v>0</v>
      </c>
      <c r="F12" s="89"/>
      <c r="G12" s="64">
        <v>0</v>
      </c>
      <c r="H12" s="64">
        <v>0</v>
      </c>
      <c r="I12" s="64">
        <v>0</v>
      </c>
      <c r="J12" s="64">
        <v>0</v>
      </c>
    </row>
    <row r="13" spans="1:10" x14ac:dyDescent="0.25">
      <c r="B13" s="93" t="s">
        <v>124</v>
      </c>
      <c r="E13" s="99">
        <f>SUM(E9:E12)</f>
        <v>0</v>
      </c>
      <c r="F13" s="89"/>
      <c r="G13" s="99">
        <f>SUM(G9:G12)</f>
        <v>0</v>
      </c>
      <c r="H13" s="99">
        <f>SUM(H9:H12)</f>
        <v>0</v>
      </c>
      <c r="I13" s="99">
        <f>SUM(I9:I12)</f>
        <v>0</v>
      </c>
      <c r="J13" s="99">
        <f>SUM(J9:J12)</f>
        <v>0</v>
      </c>
    </row>
    <row r="14" spans="1:10" x14ac:dyDescent="0.25">
      <c r="B14" s="80"/>
      <c r="C14" s="80"/>
      <c r="D14" s="80"/>
      <c r="E14" s="80"/>
      <c r="F14" s="80"/>
      <c r="G14" s="80"/>
      <c r="H14" s="80"/>
      <c r="I14" s="80"/>
      <c r="J14" s="80"/>
    </row>
    <row r="15" spans="1:10" x14ac:dyDescent="0.25">
      <c r="B15" s="96" t="s">
        <v>125</v>
      </c>
      <c r="C15" s="90"/>
      <c r="D15" s="90"/>
      <c r="E15" s="64">
        <v>0</v>
      </c>
      <c r="F15" s="91"/>
      <c r="G15" s="64">
        <v>0</v>
      </c>
      <c r="H15" s="64">
        <v>0</v>
      </c>
      <c r="I15" s="64">
        <v>0</v>
      </c>
      <c r="J15" s="64">
        <v>0</v>
      </c>
    </row>
    <row r="16" spans="1:10" x14ac:dyDescent="0.25">
      <c r="B16" s="80"/>
      <c r="C16" s="80"/>
      <c r="D16" s="80"/>
      <c r="E16" s="80"/>
      <c r="F16" s="80"/>
      <c r="G16" s="80"/>
      <c r="H16" s="80"/>
      <c r="I16" s="80"/>
      <c r="J16" s="80"/>
    </row>
    <row r="17" spans="1:10" x14ac:dyDescent="0.25">
      <c r="B17" s="96" t="s">
        <v>126</v>
      </c>
      <c r="C17" s="90"/>
      <c r="D17" s="90"/>
      <c r="E17" s="64">
        <v>0</v>
      </c>
      <c r="F17" s="91"/>
      <c r="G17" s="64">
        <v>0</v>
      </c>
      <c r="H17" s="64">
        <v>0</v>
      </c>
      <c r="I17" s="64">
        <v>0</v>
      </c>
      <c r="J17" s="64">
        <v>0</v>
      </c>
    </row>
    <row r="18" spans="1:10" x14ac:dyDescent="0.25">
      <c r="B18" s="80"/>
      <c r="C18" s="80"/>
      <c r="D18" s="80"/>
      <c r="E18" s="80"/>
      <c r="F18" s="80"/>
      <c r="G18" s="80"/>
      <c r="H18" s="80"/>
      <c r="I18" s="80"/>
      <c r="J18" s="80"/>
    </row>
    <row r="19" spans="1:10" ht="13.8" thickBot="1" x14ac:dyDescent="0.3">
      <c r="A19" s="93" t="s">
        <v>127</v>
      </c>
      <c r="B19" s="80"/>
      <c r="C19" s="90"/>
      <c r="E19" s="100">
        <f>E13+E15+E17</f>
        <v>0</v>
      </c>
      <c r="F19" s="92"/>
      <c r="G19" s="100">
        <f>G13+G15+G17</f>
        <v>0</v>
      </c>
      <c r="H19" s="100">
        <f>H13+H15+H17</f>
        <v>0</v>
      </c>
      <c r="I19" s="100">
        <f>I13+I15+I17</f>
        <v>0</v>
      </c>
      <c r="J19" s="100">
        <f>J13+J15+J17</f>
        <v>0</v>
      </c>
    </row>
    <row r="20" spans="1:10" ht="13.8" thickTop="1" x14ac:dyDescent="0.25">
      <c r="B20" s="80"/>
      <c r="C20" s="80"/>
      <c r="D20" s="80"/>
      <c r="E20" s="80"/>
      <c r="F20" s="80"/>
      <c r="G20" s="80"/>
      <c r="H20" s="80"/>
      <c r="I20" s="80"/>
      <c r="J20" s="80"/>
    </row>
    <row r="21" spans="1:10" ht="15" customHeight="1" x14ac:dyDescent="0.25">
      <c r="A21" s="96" t="s">
        <v>128</v>
      </c>
      <c r="B21" s="85"/>
      <c r="C21" s="85"/>
      <c r="E21" s="94"/>
      <c r="F21" s="94"/>
      <c r="G21" s="94"/>
      <c r="H21" s="94"/>
      <c r="I21" s="94"/>
      <c r="J21" s="94"/>
    </row>
    <row r="22" spans="1:10" x14ac:dyDescent="0.25">
      <c r="B22" s="80"/>
      <c r="C22" s="80"/>
      <c r="D22" s="80"/>
      <c r="E22" s="80"/>
      <c r="F22" s="80"/>
      <c r="G22" s="80"/>
      <c r="H22" s="80"/>
      <c r="I22" s="80"/>
      <c r="J22" s="80"/>
    </row>
    <row r="23" spans="1:10" x14ac:dyDescent="0.25">
      <c r="B23" s="93" t="s">
        <v>156</v>
      </c>
      <c r="C23" s="95"/>
      <c r="D23" s="95"/>
      <c r="E23" s="89"/>
      <c r="F23" s="89"/>
      <c r="G23" s="89"/>
      <c r="H23" s="89"/>
      <c r="I23" s="89"/>
      <c r="J23" s="89"/>
    </row>
    <row r="24" spans="1:10" x14ac:dyDescent="0.25">
      <c r="B24" s="97" t="s">
        <v>130</v>
      </c>
      <c r="D24" s="90"/>
      <c r="E24" s="64">
        <v>0</v>
      </c>
      <c r="F24" s="91"/>
      <c r="G24" s="64">
        <v>0</v>
      </c>
      <c r="H24" s="64">
        <v>0</v>
      </c>
      <c r="I24" s="64">
        <v>0</v>
      </c>
      <c r="J24" s="64">
        <v>0</v>
      </c>
    </row>
    <row r="25" spans="1:10" x14ac:dyDescent="0.25">
      <c r="B25" s="97" t="s">
        <v>129</v>
      </c>
      <c r="D25" s="90"/>
      <c r="E25" s="64">
        <v>0</v>
      </c>
      <c r="F25" s="89"/>
      <c r="G25" s="64">
        <v>0</v>
      </c>
      <c r="H25" s="64">
        <v>0</v>
      </c>
      <c r="I25" s="64">
        <v>0</v>
      </c>
      <c r="J25" s="64">
        <v>0</v>
      </c>
    </row>
    <row r="26" spans="1:10" x14ac:dyDescent="0.25">
      <c r="B26" s="97" t="s">
        <v>138</v>
      </c>
      <c r="D26" s="90"/>
      <c r="E26" s="64">
        <v>0</v>
      </c>
      <c r="F26" s="89"/>
      <c r="G26" s="64">
        <v>0</v>
      </c>
      <c r="H26" s="64">
        <v>0</v>
      </c>
      <c r="I26" s="64">
        <v>0</v>
      </c>
      <c r="J26" s="64">
        <v>0</v>
      </c>
    </row>
    <row r="27" spans="1:10" x14ac:dyDescent="0.25">
      <c r="B27" s="97" t="s">
        <v>131</v>
      </c>
      <c r="D27" s="90"/>
      <c r="E27" s="64">
        <v>0</v>
      </c>
      <c r="F27" s="89"/>
      <c r="G27" s="64">
        <v>0</v>
      </c>
      <c r="H27" s="64">
        <v>0</v>
      </c>
      <c r="I27" s="64">
        <v>0</v>
      </c>
      <c r="J27" s="64">
        <v>0</v>
      </c>
    </row>
    <row r="28" spans="1:10" x14ac:dyDescent="0.25">
      <c r="B28" s="97" t="s">
        <v>140</v>
      </c>
      <c r="D28" s="90"/>
      <c r="E28" s="64">
        <v>0</v>
      </c>
      <c r="F28" s="89"/>
      <c r="G28" s="64">
        <v>0</v>
      </c>
      <c r="H28" s="64">
        <v>0</v>
      </c>
      <c r="I28" s="64">
        <v>0</v>
      </c>
      <c r="J28" s="64">
        <v>0</v>
      </c>
    </row>
    <row r="29" spans="1:10" x14ac:dyDescent="0.25">
      <c r="B29" s="93" t="s">
        <v>132</v>
      </c>
      <c r="E29" s="99">
        <f>SUM(E24:E28)</f>
        <v>0</v>
      </c>
      <c r="F29" s="89"/>
      <c r="G29" s="99">
        <f t="shared" ref="G29:J29" si="0">SUM(G24:G28)</f>
        <v>0</v>
      </c>
      <c r="H29" s="99">
        <f t="shared" si="0"/>
        <v>0</v>
      </c>
      <c r="I29" s="99">
        <f t="shared" si="0"/>
        <v>0</v>
      </c>
      <c r="J29" s="99">
        <f t="shared" si="0"/>
        <v>0</v>
      </c>
    </row>
    <row r="30" spans="1:10" x14ac:dyDescent="0.25">
      <c r="B30" s="93"/>
      <c r="E30" s="89"/>
      <c r="F30" s="89"/>
      <c r="G30" s="89"/>
      <c r="H30" s="89"/>
      <c r="I30" s="89"/>
      <c r="J30" s="89"/>
    </row>
    <row r="31" spans="1:10" x14ac:dyDescent="0.25">
      <c r="B31" s="96" t="s">
        <v>157</v>
      </c>
      <c r="C31" s="80"/>
      <c r="D31" s="80"/>
      <c r="E31" s="80"/>
      <c r="F31" s="80"/>
      <c r="G31" s="80"/>
      <c r="H31" s="80"/>
      <c r="I31" s="80"/>
      <c r="J31" s="80"/>
    </row>
    <row r="32" spans="1:10" x14ac:dyDescent="0.25">
      <c r="B32" s="97" t="s">
        <v>158</v>
      </c>
      <c r="D32" s="80"/>
      <c r="E32" s="64">
        <v>0</v>
      </c>
      <c r="F32" s="91"/>
      <c r="G32" s="64">
        <v>0</v>
      </c>
      <c r="H32" s="64">
        <v>0</v>
      </c>
      <c r="I32" s="64">
        <v>0</v>
      </c>
      <c r="J32" s="64">
        <v>0</v>
      </c>
    </row>
    <row r="33" spans="1:10" x14ac:dyDescent="0.25">
      <c r="B33" s="97" t="s">
        <v>159</v>
      </c>
      <c r="D33" s="80"/>
      <c r="E33" s="64">
        <v>0</v>
      </c>
      <c r="F33" s="89"/>
      <c r="G33" s="64">
        <v>0</v>
      </c>
      <c r="H33" s="64">
        <v>0</v>
      </c>
      <c r="I33" s="64">
        <v>0</v>
      </c>
      <c r="J33" s="64">
        <v>0</v>
      </c>
    </row>
    <row r="34" spans="1:10" x14ac:dyDescent="0.25">
      <c r="B34" s="93" t="s">
        <v>139</v>
      </c>
      <c r="D34" s="90"/>
      <c r="E34" s="99">
        <f>SUM(E32:E33)</f>
        <v>0</v>
      </c>
      <c r="F34" s="89"/>
      <c r="G34" s="99">
        <f t="shared" ref="G34:J34" si="1">SUM(G32:G33)</f>
        <v>0</v>
      </c>
      <c r="H34" s="99">
        <f t="shared" si="1"/>
        <v>0</v>
      </c>
      <c r="I34" s="99">
        <f t="shared" si="1"/>
        <v>0</v>
      </c>
      <c r="J34" s="99">
        <f t="shared" si="1"/>
        <v>0</v>
      </c>
    </row>
    <row r="35" spans="1:10" x14ac:dyDescent="0.25">
      <c r="B35" s="80"/>
      <c r="C35" s="80"/>
      <c r="D35" s="80"/>
      <c r="E35" s="80"/>
      <c r="F35" s="80"/>
      <c r="G35" s="80"/>
      <c r="H35" s="80"/>
      <c r="I35" s="80"/>
      <c r="J35" s="80"/>
    </row>
    <row r="36" spans="1:10" ht="15" x14ac:dyDescent="0.4">
      <c r="B36" s="93" t="s">
        <v>133</v>
      </c>
      <c r="C36" s="80"/>
      <c r="E36" s="101">
        <f>E29+E34</f>
        <v>0</v>
      </c>
      <c r="F36" s="94"/>
      <c r="G36" s="101">
        <f>G29+G34</f>
        <v>0</v>
      </c>
      <c r="H36" s="101">
        <f>H29+H34</f>
        <v>0</v>
      </c>
      <c r="I36" s="101">
        <f>I29+I34</f>
        <v>0</v>
      </c>
      <c r="J36" s="101">
        <f>J29+J34</f>
        <v>0</v>
      </c>
    </row>
    <row r="37" spans="1:10" x14ac:dyDescent="0.25">
      <c r="B37" s="80"/>
      <c r="C37" s="80"/>
      <c r="D37" s="80"/>
      <c r="E37" s="80"/>
      <c r="F37" s="80"/>
      <c r="G37" s="80"/>
      <c r="H37" s="80"/>
      <c r="I37" s="80"/>
      <c r="J37" s="80"/>
    </row>
    <row r="38" spans="1:10" x14ac:dyDescent="0.25">
      <c r="B38" s="98" t="s">
        <v>160</v>
      </c>
      <c r="C38" s="95"/>
      <c r="D38" s="95"/>
      <c r="E38" s="89"/>
      <c r="F38" s="89"/>
      <c r="G38" s="94"/>
      <c r="H38" s="94"/>
      <c r="I38" s="94"/>
      <c r="J38" s="94"/>
    </row>
    <row r="39" spans="1:10" x14ac:dyDescent="0.25">
      <c r="B39" s="97" t="s">
        <v>134</v>
      </c>
      <c r="D39" s="95"/>
      <c r="E39" s="64">
        <v>0</v>
      </c>
      <c r="F39" s="89"/>
      <c r="G39" s="64">
        <v>0</v>
      </c>
      <c r="H39" s="64">
        <v>0</v>
      </c>
      <c r="I39" s="64">
        <v>0</v>
      </c>
      <c r="J39" s="64">
        <v>0</v>
      </c>
    </row>
    <row r="40" spans="1:10" x14ac:dyDescent="0.25">
      <c r="B40" s="97" t="s">
        <v>135</v>
      </c>
      <c r="D40" s="95"/>
      <c r="E40" s="64">
        <v>0</v>
      </c>
      <c r="F40" s="89"/>
      <c r="G40" s="64">
        <v>0</v>
      </c>
      <c r="H40" s="64">
        <v>0</v>
      </c>
      <c r="I40" s="64">
        <v>0</v>
      </c>
      <c r="J40" s="64">
        <v>0</v>
      </c>
    </row>
    <row r="41" spans="1:10" x14ac:dyDescent="0.25">
      <c r="B41" s="97" t="s">
        <v>167</v>
      </c>
      <c r="D41" s="95"/>
      <c r="E41" s="107">
        <v>0</v>
      </c>
      <c r="F41" s="89"/>
      <c r="G41" s="107">
        <v>0</v>
      </c>
      <c r="H41" s="107">
        <v>0</v>
      </c>
      <c r="I41" s="107">
        <v>0</v>
      </c>
      <c r="J41" s="107">
        <v>0</v>
      </c>
    </row>
    <row r="42" spans="1:10" ht="15" x14ac:dyDescent="0.4">
      <c r="B42" s="93" t="s">
        <v>136</v>
      </c>
      <c r="C42" s="90"/>
      <c r="E42" s="102">
        <f>SUM(E39:E41)</f>
        <v>0</v>
      </c>
      <c r="F42" s="89"/>
      <c r="G42" s="102">
        <f>SUM(G39:G41)</f>
        <v>0</v>
      </c>
      <c r="H42" s="102">
        <f>SUM(H39:H41)</f>
        <v>0</v>
      </c>
      <c r="I42" s="102">
        <f>SUM(I39:I41)</f>
        <v>0</v>
      </c>
      <c r="J42" s="102">
        <f>SUM(J39:J41)</f>
        <v>0</v>
      </c>
    </row>
    <row r="43" spans="1:10" x14ac:dyDescent="0.25">
      <c r="B43" s="80"/>
      <c r="C43" s="80"/>
      <c r="D43" s="80"/>
      <c r="E43" s="80"/>
      <c r="F43" s="80"/>
      <c r="G43" s="80"/>
      <c r="H43" s="80"/>
      <c r="I43" s="80"/>
      <c r="J43" s="80"/>
    </row>
    <row r="44" spans="1:10" ht="13.8" thickBot="1" x14ac:dyDescent="0.3">
      <c r="A44" s="93" t="s">
        <v>137</v>
      </c>
      <c r="B44" s="80"/>
      <c r="C44" s="90"/>
      <c r="E44" s="103">
        <f>E36+E42</f>
        <v>0</v>
      </c>
      <c r="F44" s="89"/>
      <c r="G44" s="103">
        <f>G36+G42</f>
        <v>0</v>
      </c>
      <c r="H44" s="103">
        <f>H36+H42</f>
        <v>0</v>
      </c>
      <c r="I44" s="103">
        <f>I36+I42</f>
        <v>0</v>
      </c>
      <c r="J44" s="103">
        <f>J36+J42</f>
        <v>0</v>
      </c>
    </row>
    <row r="45" spans="1:10" ht="13.8" thickTop="1" x14ac:dyDescent="0.25">
      <c r="B45" s="80"/>
      <c r="C45" s="90"/>
      <c r="D45" s="95"/>
      <c r="E45" s="89"/>
      <c r="F45" s="89"/>
      <c r="G45" s="94"/>
      <c r="H45" s="94"/>
      <c r="I45" s="94"/>
      <c r="J45" s="94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77734375" defaultRowHeight="14.4" x14ac:dyDescent="0.3"/>
  <cols>
    <col min="1" max="1" width="16.109375" bestFit="1" customWidth="1"/>
  </cols>
  <sheetData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CSA Consulting</cp:lastModifiedBy>
  <cp:lastPrinted>2015-03-10T20:29:00Z</cp:lastPrinted>
  <dcterms:created xsi:type="dcterms:W3CDTF">2015-03-09T19:17:40Z</dcterms:created>
  <dcterms:modified xsi:type="dcterms:W3CDTF">2016-07-06T17:27:08Z</dcterms:modified>
</cp:coreProperties>
</file>