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autoCompressPictures="0"/>
  <bookViews>
    <workbookView xWindow="0" yWindow="0" windowWidth="28440" windowHeight="15480" activeTab="1"/>
  </bookViews>
  <sheets>
    <sheet name="Cover Sheet" sheetId="6" r:id="rId1"/>
    <sheet name="Enrollment" sheetId="4" r:id="rId2"/>
    <sheet name="Annual Budget" sheetId="5" r:id="rId3"/>
    <sheet name="References" sheetId="7" state="hidden" r:id="rId4"/>
  </sheets>
  <externalReferences>
    <externalReference r:id="rId5"/>
    <externalReference r:id="rId6"/>
    <externalReference r:id="rId7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Scenario" localSheetId="2">[3]Inputs!#REF!</definedName>
    <definedName name="Scenario">[3]Inputs!#REF!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1" i="5" l="1"/>
  <c r="U41" i="5"/>
  <c r="T41" i="5"/>
  <c r="W41" i="5"/>
  <c r="R41" i="5"/>
  <c r="Q41" i="5"/>
  <c r="P41" i="5"/>
  <c r="N41" i="5"/>
  <c r="O41" i="5"/>
  <c r="M41" i="5"/>
  <c r="L41" i="5"/>
  <c r="J41" i="5"/>
  <c r="I41" i="5"/>
  <c r="H41" i="5"/>
  <c r="V74" i="5"/>
  <c r="U74" i="5"/>
  <c r="T74" i="5"/>
  <c r="W74" i="5"/>
  <c r="R74" i="5"/>
  <c r="Q74" i="5"/>
  <c r="P74" i="5"/>
  <c r="N74" i="5"/>
  <c r="O74" i="5"/>
  <c r="M74" i="5"/>
  <c r="L74" i="5"/>
  <c r="J74" i="5"/>
  <c r="I74" i="5"/>
  <c r="V69" i="5"/>
  <c r="U69" i="5"/>
  <c r="T69" i="5"/>
  <c r="V67" i="5"/>
  <c r="W67" i="5"/>
  <c r="U67" i="5"/>
  <c r="T67" i="5"/>
  <c r="V66" i="5"/>
  <c r="U66" i="5"/>
  <c r="T66" i="5"/>
  <c r="V65" i="5"/>
  <c r="U65" i="5"/>
  <c r="T65" i="5"/>
  <c r="V64" i="5"/>
  <c r="U64" i="5"/>
  <c r="T64" i="5"/>
  <c r="V63" i="5"/>
  <c r="U63" i="5"/>
  <c r="T63" i="5"/>
  <c r="R69" i="5"/>
  <c r="Q69" i="5"/>
  <c r="S69" i="5"/>
  <c r="P69" i="5"/>
  <c r="R67" i="5"/>
  <c r="Q67" i="5"/>
  <c r="P67" i="5"/>
  <c r="S67" i="5"/>
  <c r="R66" i="5"/>
  <c r="Q66" i="5"/>
  <c r="P66" i="5"/>
  <c r="R65" i="5"/>
  <c r="S65" i="5"/>
  <c r="Q65" i="5"/>
  <c r="P65" i="5"/>
  <c r="R64" i="5"/>
  <c r="Q64" i="5"/>
  <c r="P64" i="5"/>
  <c r="R63" i="5"/>
  <c r="Q63" i="5"/>
  <c r="P63" i="5"/>
  <c r="N69" i="5"/>
  <c r="M69" i="5"/>
  <c r="L69" i="5"/>
  <c r="N67" i="5"/>
  <c r="O67" i="5"/>
  <c r="M67" i="5"/>
  <c r="L67" i="5"/>
  <c r="N66" i="5"/>
  <c r="M66" i="5"/>
  <c r="L66" i="5"/>
  <c r="N65" i="5"/>
  <c r="M65" i="5"/>
  <c r="L65" i="5"/>
  <c r="N64" i="5"/>
  <c r="M64" i="5"/>
  <c r="L64" i="5"/>
  <c r="N63" i="5"/>
  <c r="M63" i="5"/>
  <c r="L63" i="5"/>
  <c r="J69" i="5"/>
  <c r="I69" i="5"/>
  <c r="K69" i="5"/>
  <c r="Y69" i="5"/>
  <c r="J67" i="5"/>
  <c r="I67" i="5"/>
  <c r="J66" i="5"/>
  <c r="I66" i="5"/>
  <c r="J65" i="5"/>
  <c r="I65" i="5"/>
  <c r="J64" i="5"/>
  <c r="I64" i="5"/>
  <c r="I70" i="5"/>
  <c r="J63" i="5"/>
  <c r="I63" i="5"/>
  <c r="V59" i="5"/>
  <c r="U59" i="5"/>
  <c r="W59" i="5"/>
  <c r="T59" i="5"/>
  <c r="V58" i="5"/>
  <c r="U58" i="5"/>
  <c r="T58" i="5"/>
  <c r="W58" i="5"/>
  <c r="V57" i="5"/>
  <c r="U57" i="5"/>
  <c r="T57" i="5"/>
  <c r="V56" i="5"/>
  <c r="U56" i="5"/>
  <c r="T56" i="5"/>
  <c r="V55" i="5"/>
  <c r="U55" i="5"/>
  <c r="T55" i="5"/>
  <c r="V54" i="5"/>
  <c r="U54" i="5"/>
  <c r="T54" i="5"/>
  <c r="V53" i="5"/>
  <c r="U53" i="5"/>
  <c r="T53" i="5"/>
  <c r="R59" i="5"/>
  <c r="S59" i="5"/>
  <c r="Q59" i="5"/>
  <c r="P59" i="5"/>
  <c r="R58" i="5"/>
  <c r="Q58" i="5"/>
  <c r="S58" i="5"/>
  <c r="P58" i="5"/>
  <c r="R57" i="5"/>
  <c r="Q57" i="5"/>
  <c r="P57" i="5"/>
  <c r="S57" i="5"/>
  <c r="R56" i="5"/>
  <c r="Q56" i="5"/>
  <c r="P56" i="5"/>
  <c r="R55" i="5"/>
  <c r="Q55" i="5"/>
  <c r="P55" i="5"/>
  <c r="R54" i="5"/>
  <c r="Q54" i="5"/>
  <c r="P54" i="5"/>
  <c r="R53" i="5"/>
  <c r="Q53" i="5"/>
  <c r="P53" i="5"/>
  <c r="N59" i="5"/>
  <c r="M59" i="5"/>
  <c r="L59" i="5"/>
  <c r="N58" i="5"/>
  <c r="O58" i="5"/>
  <c r="M58" i="5"/>
  <c r="L58" i="5"/>
  <c r="N57" i="5"/>
  <c r="M57" i="5"/>
  <c r="O57" i="5"/>
  <c r="L57" i="5"/>
  <c r="N56" i="5"/>
  <c r="M56" i="5"/>
  <c r="L56" i="5"/>
  <c r="N55" i="5"/>
  <c r="M55" i="5"/>
  <c r="L55" i="5"/>
  <c r="N54" i="5"/>
  <c r="M54" i="5"/>
  <c r="L54" i="5"/>
  <c r="N53" i="5"/>
  <c r="M53" i="5"/>
  <c r="O53" i="5"/>
  <c r="L53" i="5"/>
  <c r="J59" i="5"/>
  <c r="I59" i="5"/>
  <c r="J58" i="5"/>
  <c r="I58" i="5"/>
  <c r="J57" i="5"/>
  <c r="I57" i="5"/>
  <c r="J56" i="5"/>
  <c r="I56" i="5"/>
  <c r="J55" i="5"/>
  <c r="I55" i="5"/>
  <c r="J54" i="5"/>
  <c r="J60" i="5"/>
  <c r="I54" i="5"/>
  <c r="J53" i="5"/>
  <c r="I53" i="5"/>
  <c r="V49" i="5"/>
  <c r="W49" i="5"/>
  <c r="U49" i="5"/>
  <c r="T49" i="5"/>
  <c r="V48" i="5"/>
  <c r="U48" i="5"/>
  <c r="T48" i="5"/>
  <c r="V47" i="5"/>
  <c r="U47" i="5"/>
  <c r="T47" i="5"/>
  <c r="V46" i="5"/>
  <c r="U46" i="5"/>
  <c r="T46" i="5"/>
  <c r="V45" i="5"/>
  <c r="U45" i="5"/>
  <c r="T45" i="5"/>
  <c r="R49" i="5"/>
  <c r="Q49" i="5"/>
  <c r="S49" i="5"/>
  <c r="P49" i="5"/>
  <c r="R48" i="5"/>
  <c r="Q48" i="5"/>
  <c r="P48" i="5"/>
  <c r="R47" i="5"/>
  <c r="Q47" i="5"/>
  <c r="P47" i="5"/>
  <c r="R46" i="5"/>
  <c r="Q46" i="5"/>
  <c r="P46" i="5"/>
  <c r="R45" i="5"/>
  <c r="Q45" i="5"/>
  <c r="P45" i="5"/>
  <c r="N49" i="5"/>
  <c r="M49" i="5"/>
  <c r="L49" i="5"/>
  <c r="O49" i="5"/>
  <c r="N48" i="5"/>
  <c r="M48" i="5"/>
  <c r="L48" i="5"/>
  <c r="N47" i="5"/>
  <c r="M47" i="5"/>
  <c r="L47" i="5"/>
  <c r="N46" i="5"/>
  <c r="M46" i="5"/>
  <c r="O46" i="5"/>
  <c r="L46" i="5"/>
  <c r="N45" i="5"/>
  <c r="M45" i="5"/>
  <c r="L45" i="5"/>
  <c r="J49" i="5"/>
  <c r="I49" i="5"/>
  <c r="J48" i="5"/>
  <c r="I48" i="5"/>
  <c r="J47" i="5"/>
  <c r="I47" i="5"/>
  <c r="J46" i="5"/>
  <c r="I46" i="5"/>
  <c r="I50" i="5"/>
  <c r="J45" i="5"/>
  <c r="I45" i="5"/>
  <c r="V40" i="5"/>
  <c r="U40" i="5"/>
  <c r="W40" i="5"/>
  <c r="T40" i="5"/>
  <c r="V39" i="5"/>
  <c r="U39" i="5"/>
  <c r="T39" i="5"/>
  <c r="V38" i="5"/>
  <c r="U38" i="5"/>
  <c r="T38" i="5"/>
  <c r="V37" i="5"/>
  <c r="U37" i="5"/>
  <c r="T37" i="5"/>
  <c r="V36" i="5"/>
  <c r="U36" i="5"/>
  <c r="T36" i="5"/>
  <c r="R40" i="5"/>
  <c r="Q40" i="5"/>
  <c r="P40" i="5"/>
  <c r="S40" i="5"/>
  <c r="R39" i="5"/>
  <c r="Q39" i="5"/>
  <c r="P39" i="5"/>
  <c r="R38" i="5"/>
  <c r="Q38" i="5"/>
  <c r="P38" i="5"/>
  <c r="R37" i="5"/>
  <c r="Q37" i="5"/>
  <c r="P37" i="5"/>
  <c r="R36" i="5"/>
  <c r="Q36" i="5"/>
  <c r="P36" i="5"/>
  <c r="N40" i="5"/>
  <c r="M40" i="5"/>
  <c r="L40" i="5"/>
  <c r="N39" i="5"/>
  <c r="M39" i="5"/>
  <c r="L39" i="5"/>
  <c r="N38" i="5"/>
  <c r="M38" i="5"/>
  <c r="O38" i="5"/>
  <c r="L38" i="5"/>
  <c r="N37" i="5"/>
  <c r="M37" i="5"/>
  <c r="L37" i="5"/>
  <c r="N36" i="5"/>
  <c r="M36" i="5"/>
  <c r="L36" i="5"/>
  <c r="J40" i="5"/>
  <c r="K40" i="5"/>
  <c r="I40" i="5"/>
  <c r="J39" i="5"/>
  <c r="I39" i="5"/>
  <c r="J38" i="5"/>
  <c r="K38" i="5"/>
  <c r="I38" i="5"/>
  <c r="J37" i="5"/>
  <c r="I37" i="5"/>
  <c r="J36" i="5"/>
  <c r="J42" i="5"/>
  <c r="I36" i="5"/>
  <c r="H74" i="5"/>
  <c r="H69" i="5"/>
  <c r="H67" i="5"/>
  <c r="K67" i="5"/>
  <c r="H66" i="5"/>
  <c r="H65" i="5"/>
  <c r="H64" i="5"/>
  <c r="H63" i="5"/>
  <c r="K63" i="5"/>
  <c r="H59" i="5"/>
  <c r="H58" i="5"/>
  <c r="H57" i="5"/>
  <c r="H56" i="5"/>
  <c r="H60" i="5"/>
  <c r="K60" i="5"/>
  <c r="H55" i="5"/>
  <c r="H54" i="5"/>
  <c r="H53" i="5"/>
  <c r="H49" i="5"/>
  <c r="K49" i="5"/>
  <c r="H48" i="5"/>
  <c r="H47" i="5"/>
  <c r="H46" i="5"/>
  <c r="H45" i="5"/>
  <c r="H40" i="5"/>
  <c r="H39" i="5"/>
  <c r="H38" i="5"/>
  <c r="H37" i="5"/>
  <c r="K37" i="5"/>
  <c r="H36" i="5"/>
  <c r="V32" i="5"/>
  <c r="U32" i="5"/>
  <c r="T32" i="5"/>
  <c r="W32" i="5"/>
  <c r="R32" i="5"/>
  <c r="Q32" i="5"/>
  <c r="P32" i="5"/>
  <c r="N32" i="5"/>
  <c r="O32" i="5"/>
  <c r="M32" i="5"/>
  <c r="L32" i="5"/>
  <c r="J32" i="5"/>
  <c r="I32" i="5"/>
  <c r="K32" i="5"/>
  <c r="H32" i="5"/>
  <c r="V30" i="5"/>
  <c r="U30" i="5"/>
  <c r="T30" i="5"/>
  <c r="W30" i="5"/>
  <c r="R30" i="5"/>
  <c r="Q30" i="5"/>
  <c r="P30" i="5"/>
  <c r="N30" i="5"/>
  <c r="O30" i="5"/>
  <c r="M30" i="5"/>
  <c r="L30" i="5"/>
  <c r="J30" i="5"/>
  <c r="I30" i="5"/>
  <c r="K30" i="5"/>
  <c r="H30" i="5"/>
  <c r="F33" i="5"/>
  <c r="V28" i="5"/>
  <c r="U28" i="5"/>
  <c r="W28" i="5"/>
  <c r="T28" i="5"/>
  <c r="V26" i="5"/>
  <c r="U26" i="5"/>
  <c r="T26" i="5"/>
  <c r="W26" i="5"/>
  <c r="V25" i="5"/>
  <c r="U25" i="5"/>
  <c r="T25" i="5"/>
  <c r="V21" i="5"/>
  <c r="U21" i="5"/>
  <c r="T21" i="5"/>
  <c r="V20" i="5"/>
  <c r="U20" i="5"/>
  <c r="T20" i="5"/>
  <c r="V19" i="5"/>
  <c r="U19" i="5"/>
  <c r="T19" i="5"/>
  <c r="R28" i="5"/>
  <c r="Q28" i="5"/>
  <c r="P28" i="5"/>
  <c r="R26" i="5"/>
  <c r="S26" i="5"/>
  <c r="Q26" i="5"/>
  <c r="P26" i="5"/>
  <c r="R25" i="5"/>
  <c r="Q25" i="5"/>
  <c r="P25" i="5"/>
  <c r="R21" i="5"/>
  <c r="Q21" i="5"/>
  <c r="P21" i="5"/>
  <c r="R20" i="5"/>
  <c r="Q20" i="5"/>
  <c r="P20" i="5"/>
  <c r="R19" i="5"/>
  <c r="S19" i="5"/>
  <c r="Q19" i="5"/>
  <c r="P19" i="5"/>
  <c r="N28" i="5"/>
  <c r="M28" i="5"/>
  <c r="O28" i="5"/>
  <c r="L28" i="5"/>
  <c r="N26" i="5"/>
  <c r="M26" i="5"/>
  <c r="L26" i="5"/>
  <c r="O26" i="5"/>
  <c r="N25" i="5"/>
  <c r="M25" i="5"/>
  <c r="L25" i="5"/>
  <c r="N21" i="5"/>
  <c r="M21" i="5"/>
  <c r="L21" i="5"/>
  <c r="N20" i="5"/>
  <c r="M20" i="5"/>
  <c r="L20" i="5"/>
  <c r="N19" i="5"/>
  <c r="M19" i="5"/>
  <c r="L19" i="5"/>
  <c r="J28" i="5"/>
  <c r="I28" i="5"/>
  <c r="J26" i="5"/>
  <c r="I26" i="5"/>
  <c r="K26" i="5"/>
  <c r="Y26" i="5"/>
  <c r="J25" i="5"/>
  <c r="I25" i="5"/>
  <c r="J21" i="5"/>
  <c r="I21" i="5"/>
  <c r="K21" i="5"/>
  <c r="J20" i="5"/>
  <c r="I20" i="5"/>
  <c r="J19" i="5"/>
  <c r="I19" i="5"/>
  <c r="H25" i="5"/>
  <c r="H26" i="5"/>
  <c r="H28" i="5"/>
  <c r="H20" i="5"/>
  <c r="H33" i="5"/>
  <c r="H21" i="5"/>
  <c r="H19" i="5"/>
  <c r="V11" i="5"/>
  <c r="U11" i="5"/>
  <c r="W11" i="5"/>
  <c r="T11" i="5"/>
  <c r="R11" i="5"/>
  <c r="Q11" i="5"/>
  <c r="P11" i="5"/>
  <c r="N11" i="5"/>
  <c r="M11" i="5"/>
  <c r="L11" i="5"/>
  <c r="J11" i="5"/>
  <c r="I11" i="5"/>
  <c r="H11" i="5"/>
  <c r="V9" i="5"/>
  <c r="U9" i="5"/>
  <c r="T9" i="5"/>
  <c r="V7" i="5"/>
  <c r="U7" i="5"/>
  <c r="T7" i="5"/>
  <c r="R9" i="5"/>
  <c r="Q9" i="5"/>
  <c r="P9" i="5"/>
  <c r="R7" i="5"/>
  <c r="S7" i="5"/>
  <c r="Q7" i="5"/>
  <c r="P7" i="5"/>
  <c r="N9" i="5"/>
  <c r="M9" i="5"/>
  <c r="L9" i="5"/>
  <c r="N7" i="5"/>
  <c r="M7" i="5"/>
  <c r="L7" i="5"/>
  <c r="J9" i="5"/>
  <c r="I9" i="5"/>
  <c r="J7" i="5"/>
  <c r="I7" i="5"/>
  <c r="I15" i="5"/>
  <c r="H9" i="5"/>
  <c r="H7" i="5"/>
  <c r="D69" i="5"/>
  <c r="D11" i="5"/>
  <c r="D33" i="5"/>
  <c r="D60" i="5"/>
  <c r="D50" i="5"/>
  <c r="D42" i="5"/>
  <c r="D15" i="5"/>
  <c r="D72" i="5"/>
  <c r="D75" i="5"/>
  <c r="A2" i="4"/>
  <c r="A1" i="4"/>
  <c r="D58" i="4"/>
  <c r="D42" i="4"/>
  <c r="D31" i="4"/>
  <c r="D26" i="4"/>
  <c r="D34" i="4"/>
  <c r="D24" i="4"/>
  <c r="B58" i="4"/>
  <c r="B42" i="4"/>
  <c r="B24" i="4"/>
  <c r="Y68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S74" i="5"/>
  <c r="K74" i="5"/>
  <c r="Y74" i="5"/>
  <c r="R70" i="5"/>
  <c r="J70" i="5"/>
  <c r="H70" i="5"/>
  <c r="D70" i="5"/>
  <c r="D71" i="5"/>
  <c r="W69" i="5"/>
  <c r="O69" i="5"/>
  <c r="S66" i="5"/>
  <c r="K66" i="5"/>
  <c r="K65" i="5"/>
  <c r="W64" i="5"/>
  <c r="O64" i="5"/>
  <c r="K64" i="5"/>
  <c r="M60" i="5"/>
  <c r="I60" i="5"/>
  <c r="O59" i="5"/>
  <c r="K59" i="5"/>
  <c r="K58" i="5"/>
  <c r="W57" i="5"/>
  <c r="K57" i="5"/>
  <c r="S56" i="5"/>
  <c r="K56" i="5"/>
  <c r="O55" i="5"/>
  <c r="K55" i="5"/>
  <c r="W53" i="5"/>
  <c r="K53" i="5"/>
  <c r="J50" i="5"/>
  <c r="O48" i="5"/>
  <c r="K48" i="5"/>
  <c r="S47" i="5"/>
  <c r="K47" i="5"/>
  <c r="W46" i="5"/>
  <c r="K46" i="5"/>
  <c r="S41" i="5"/>
  <c r="O40" i="5"/>
  <c r="S39" i="5"/>
  <c r="K39" i="5"/>
  <c r="W38" i="5"/>
  <c r="O36" i="5"/>
  <c r="K36" i="5"/>
  <c r="R33" i="5"/>
  <c r="J33" i="5"/>
  <c r="S32" i="5"/>
  <c r="W31" i="5"/>
  <c r="S31" i="5"/>
  <c r="O31" i="5"/>
  <c r="K31" i="5"/>
  <c r="Y31" i="5"/>
  <c r="S30" i="5"/>
  <c r="W29" i="5"/>
  <c r="S29" i="5"/>
  <c r="O29" i="5"/>
  <c r="K29" i="5"/>
  <c r="Y29" i="5"/>
  <c r="S28" i="5"/>
  <c r="K28" i="5"/>
  <c r="W27" i="5"/>
  <c r="S27" i="5"/>
  <c r="O27" i="5"/>
  <c r="K27" i="5"/>
  <c r="Y27" i="5"/>
  <c r="W25" i="5"/>
  <c r="O25" i="5"/>
  <c r="K25" i="5"/>
  <c r="W24" i="5"/>
  <c r="S24" i="5"/>
  <c r="O24" i="5"/>
  <c r="K24" i="5"/>
  <c r="W23" i="5"/>
  <c r="S23" i="5"/>
  <c r="O23" i="5"/>
  <c r="K23" i="5"/>
  <c r="Y23" i="5"/>
  <c r="W22" i="5"/>
  <c r="S22" i="5"/>
  <c r="O22" i="5"/>
  <c r="K22" i="5"/>
  <c r="S20" i="5"/>
  <c r="K20" i="5"/>
  <c r="V15" i="5"/>
  <c r="Q15" i="5"/>
  <c r="N15" i="5"/>
  <c r="H15" i="5"/>
  <c r="W14" i="5"/>
  <c r="S14" i="5"/>
  <c r="O14" i="5"/>
  <c r="K14" i="5"/>
  <c r="W13" i="5"/>
  <c r="S13" i="5"/>
  <c r="O13" i="5"/>
  <c r="K13" i="5"/>
  <c r="W12" i="5"/>
  <c r="S12" i="5"/>
  <c r="O12" i="5"/>
  <c r="K12" i="5"/>
  <c r="O11" i="5"/>
  <c r="W10" i="5"/>
  <c r="S10" i="5"/>
  <c r="O10" i="5"/>
  <c r="K10" i="5"/>
  <c r="S9" i="5"/>
  <c r="K9" i="5"/>
  <c r="W8" i="5"/>
  <c r="S8" i="5"/>
  <c r="O8" i="5"/>
  <c r="K8" i="5"/>
  <c r="Y8" i="5"/>
  <c r="Y10" i="5"/>
  <c r="Y12" i="5"/>
  <c r="B31" i="4"/>
  <c r="C31" i="4"/>
  <c r="C26" i="4"/>
  <c r="C34" i="4"/>
  <c r="C44" i="4"/>
  <c r="C47" i="4"/>
  <c r="C50" i="4"/>
  <c r="B26" i="4"/>
  <c r="B34" i="4"/>
  <c r="B44" i="4"/>
  <c r="B53" i="4"/>
  <c r="C58" i="4"/>
  <c r="C42" i="4"/>
  <c r="B37" i="4"/>
  <c r="C24" i="4"/>
  <c r="B47" i="4"/>
  <c r="B50" i="4"/>
  <c r="K33" i="5"/>
  <c r="Y30" i="5"/>
  <c r="Y38" i="5"/>
  <c r="Y40" i="5"/>
  <c r="Y58" i="5"/>
  <c r="D37" i="4"/>
  <c r="D44" i="4"/>
  <c r="L15" i="5"/>
  <c r="O7" i="5"/>
  <c r="O9" i="5"/>
  <c r="Y9" i="5"/>
  <c r="M15" i="5"/>
  <c r="W7" i="5"/>
  <c r="T15" i="5"/>
  <c r="W9" i="5"/>
  <c r="U15" i="5"/>
  <c r="J15" i="5"/>
  <c r="K11" i="5"/>
  <c r="P15" i="5"/>
  <c r="S11" i="5"/>
  <c r="I33" i="5"/>
  <c r="K19" i="5"/>
  <c r="L33" i="5"/>
  <c r="O19" i="5"/>
  <c r="O20" i="5"/>
  <c r="M33" i="5"/>
  <c r="N33" i="5"/>
  <c r="O21" i="5"/>
  <c r="Y21" i="5"/>
  <c r="P33" i="5"/>
  <c r="S21" i="5"/>
  <c r="Q33" i="5"/>
  <c r="S25" i="5"/>
  <c r="W19" i="5"/>
  <c r="T33" i="5"/>
  <c r="W20" i="5"/>
  <c r="Y20" i="5"/>
  <c r="U33" i="5"/>
  <c r="V33" i="5"/>
  <c r="W21" i="5"/>
  <c r="Y32" i="5"/>
  <c r="H50" i="5"/>
  <c r="K50" i="5"/>
  <c r="K45" i="5"/>
  <c r="Y49" i="5"/>
  <c r="Y67" i="5"/>
  <c r="L42" i="5"/>
  <c r="O37" i="5"/>
  <c r="Y37" i="5"/>
  <c r="N42" i="5"/>
  <c r="O39" i="5"/>
  <c r="P42" i="5"/>
  <c r="S36" i="5"/>
  <c r="Q42" i="5"/>
  <c r="S37" i="5"/>
  <c r="S38" i="5"/>
  <c r="R42" i="5"/>
  <c r="R71" i="5"/>
  <c r="W36" i="5"/>
  <c r="U42" i="5"/>
  <c r="V42" i="5"/>
  <c r="W37" i="5"/>
  <c r="W39" i="5"/>
  <c r="T42" i="5"/>
  <c r="W42" i="5"/>
  <c r="L50" i="5"/>
  <c r="O45" i="5"/>
  <c r="N50" i="5"/>
  <c r="O47" i="5"/>
  <c r="Q50" i="5"/>
  <c r="S45" i="5"/>
  <c r="S46" i="5"/>
  <c r="R50" i="5"/>
  <c r="P50" i="5"/>
  <c r="S48" i="5"/>
  <c r="Y48" i="5"/>
  <c r="V50" i="5"/>
  <c r="W45" i="5"/>
  <c r="W47" i="5"/>
  <c r="T50" i="5"/>
  <c r="W50" i="5"/>
  <c r="W48" i="5"/>
  <c r="U50" i="5"/>
  <c r="J71" i="5"/>
  <c r="N60" i="5"/>
  <c r="O54" i="5"/>
  <c r="L60" i="5"/>
  <c r="O56" i="5"/>
  <c r="Y56" i="5"/>
  <c r="P60" i="5"/>
  <c r="S60" i="5"/>
  <c r="S53" i="5"/>
  <c r="Q60" i="5"/>
  <c r="S54" i="5"/>
  <c r="S55" i="5"/>
  <c r="R60" i="5"/>
  <c r="W54" i="5"/>
  <c r="T60" i="5"/>
  <c r="W60" i="5"/>
  <c r="W55" i="5"/>
  <c r="U60" i="5"/>
  <c r="V60" i="5"/>
  <c r="W56" i="5"/>
  <c r="N70" i="5"/>
  <c r="O63" i="5"/>
  <c r="L70" i="5"/>
  <c r="O65" i="5"/>
  <c r="Y65" i="5"/>
  <c r="O66" i="5"/>
  <c r="M70" i="5"/>
  <c r="P70" i="5"/>
  <c r="S63" i="5"/>
  <c r="Y63" i="5"/>
  <c r="Q70" i="5"/>
  <c r="S64" i="5"/>
  <c r="Y64" i="5"/>
  <c r="V70" i="5"/>
  <c r="V71" i="5"/>
  <c r="V72" i="5"/>
  <c r="V75" i="5"/>
  <c r="W63" i="5"/>
  <c r="W65" i="5"/>
  <c r="T70" i="5"/>
  <c r="W66" i="5"/>
  <c r="U70" i="5"/>
  <c r="U71" i="5"/>
  <c r="I42" i="5"/>
  <c r="I71" i="5"/>
  <c r="I72" i="5"/>
  <c r="I75" i="5"/>
  <c r="K41" i="5"/>
  <c r="Y46" i="5"/>
  <c r="C53" i="4"/>
  <c r="C37" i="4"/>
  <c r="R15" i="5"/>
  <c r="H42" i="5"/>
  <c r="K42" i="5"/>
  <c r="K54" i="5"/>
  <c r="Y59" i="5"/>
  <c r="Y66" i="5"/>
  <c r="K70" i="5"/>
  <c r="H71" i="5"/>
  <c r="H72" i="5"/>
  <c r="H75" i="5"/>
  <c r="K7" i="5"/>
  <c r="Y13" i="5"/>
  <c r="Y14" i="5"/>
  <c r="K15" i="5"/>
  <c r="M42" i="5"/>
  <c r="M50" i="5"/>
  <c r="Y39" i="5"/>
  <c r="Y47" i="5"/>
  <c r="Y57" i="5"/>
  <c r="Y22" i="5"/>
  <c r="Y24" i="5"/>
  <c r="Y25" i="5"/>
  <c r="Y28" i="5"/>
  <c r="Y53" i="5"/>
  <c r="Y54" i="5"/>
  <c r="Y55" i="5"/>
  <c r="Y45" i="5"/>
  <c r="Y11" i="5"/>
  <c r="W15" i="5"/>
  <c r="T72" i="5"/>
  <c r="T75" i="5"/>
  <c r="Y36" i="5"/>
  <c r="S70" i="5"/>
  <c r="P71" i="5"/>
  <c r="O70" i="5"/>
  <c r="O71" i="5"/>
  <c r="L71" i="5"/>
  <c r="S50" i="5"/>
  <c r="O50" i="5"/>
  <c r="S42" i="5"/>
  <c r="O42" i="5"/>
  <c r="Y42" i="5"/>
  <c r="Y50" i="5"/>
  <c r="W33" i="5"/>
  <c r="O33" i="5"/>
  <c r="Y33" i="5"/>
  <c r="J72" i="5"/>
  <c r="J75" i="5"/>
  <c r="R72" i="5"/>
  <c r="R75" i="5"/>
  <c r="Y41" i="5"/>
  <c r="W70" i="5"/>
  <c r="T71" i="5"/>
  <c r="M71" i="5"/>
  <c r="M72" i="5"/>
  <c r="M75" i="5"/>
  <c r="O60" i="5"/>
  <c r="Y60" i="5"/>
  <c r="S33" i="5"/>
  <c r="U72" i="5"/>
  <c r="U75" i="5"/>
  <c r="L72" i="5"/>
  <c r="L75" i="5"/>
  <c r="O15" i="5"/>
  <c r="O72" i="5"/>
  <c r="O75" i="5"/>
  <c r="Y19" i="5"/>
  <c r="Y7" i="5"/>
  <c r="Y70" i="5"/>
  <c r="K71" i="5"/>
  <c r="K72" i="5"/>
  <c r="Q71" i="5"/>
  <c r="Q72" i="5"/>
  <c r="Q75" i="5"/>
  <c r="N71" i="5"/>
  <c r="N72" i="5"/>
  <c r="N75" i="5"/>
  <c r="P72" i="5"/>
  <c r="P75" i="5"/>
  <c r="S15" i="5"/>
  <c r="D47" i="4"/>
  <c r="D50" i="4"/>
  <c r="D53" i="4"/>
  <c r="K75" i="5"/>
  <c r="W71" i="5"/>
  <c r="W72" i="5"/>
  <c r="W75" i="5"/>
  <c r="S71" i="5"/>
  <c r="S72" i="5"/>
  <c r="Y71" i="5"/>
  <c r="Y15" i="5"/>
  <c r="S75" i="5"/>
  <c r="Y72" i="5"/>
  <c r="Y75" i="5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<sst xmlns="http://schemas.openxmlformats.org/spreadsheetml/2006/main" count="147" uniqueCount="146">
  <si>
    <t>Budget</t>
  </si>
  <si>
    <t>REVENUE</t>
  </si>
  <si>
    <t>Per Pupil Charter Payments</t>
  </si>
  <si>
    <t>Per Pupil Summer School</t>
  </si>
  <si>
    <t>Per Pupil Facilities Allowance</t>
  </si>
  <si>
    <t>Federal Entitlements</t>
  </si>
  <si>
    <t>Other Government Funding/Grants</t>
  </si>
  <si>
    <t>Private Grants and Donations</t>
  </si>
  <si>
    <t>Activity Fees</t>
  </si>
  <si>
    <t>Other Income</t>
  </si>
  <si>
    <t>TOTAL REVENUES</t>
  </si>
  <si>
    <t>ORDINARY EXPENSE</t>
  </si>
  <si>
    <t>Personnel Salaries and Benefits</t>
  </si>
  <si>
    <t>Principal/Executive Salary</t>
  </si>
  <si>
    <t>Teachers Salaries</t>
  </si>
  <si>
    <t>Special Education Salaries</t>
  </si>
  <si>
    <t>Summer School Salaries</t>
  </si>
  <si>
    <t>Teacher Aides/Assistants Salaries</t>
  </si>
  <si>
    <t>Before/After Care Salaries</t>
  </si>
  <si>
    <t>Other Education Professionals Salaries</t>
  </si>
  <si>
    <t>Business/Operations Salaries</t>
  </si>
  <si>
    <t>Clerical Salaries</t>
  </si>
  <si>
    <t>Custodial Salaries</t>
  </si>
  <si>
    <t>Other Staff Salaries</t>
  </si>
  <si>
    <t>Employee Benefits</t>
  </si>
  <si>
    <t xml:space="preserve">Contracted Staff </t>
  </si>
  <si>
    <t>Staff Development Expense</t>
  </si>
  <si>
    <t>Subtotal: Personnel Expense</t>
  </si>
  <si>
    <t>Direct Student Expense</t>
  </si>
  <si>
    <t>Textbooks</t>
  </si>
  <si>
    <t>Student Supplies and Materials</t>
  </si>
  <si>
    <t>Library and Media Center Materials</t>
  </si>
  <si>
    <t>Student Assessment Materials</t>
  </si>
  <si>
    <t>Contracted Student Services</t>
  </si>
  <si>
    <t>Miscellaneous Student Expense</t>
  </si>
  <si>
    <t>Subtotal: Direct Student Expense</t>
  </si>
  <si>
    <t>Occupancy Expenses</t>
  </si>
  <si>
    <t>Rent</t>
  </si>
  <si>
    <t>Building Maintenance and Repairs</t>
  </si>
  <si>
    <t>Utilities</t>
  </si>
  <si>
    <t>Janitorial Supplies</t>
  </si>
  <si>
    <t>Contracted Building Services</t>
  </si>
  <si>
    <t>Subtotal: Occupancy Expenses</t>
  </si>
  <si>
    <t>Office Expenses</t>
  </si>
  <si>
    <t>Office Supplies and Materials</t>
  </si>
  <si>
    <t>Office Equipment Rental and Maintenance</t>
  </si>
  <si>
    <t>Telephone/Telecommunications</t>
  </si>
  <si>
    <t>Legal, Accounting and Payroll Services</t>
  </si>
  <si>
    <t>Printing and Copying</t>
  </si>
  <si>
    <t>Postage and Shipping</t>
  </si>
  <si>
    <t>Other</t>
  </si>
  <si>
    <t>Subtotal: Office Expenses</t>
  </si>
  <si>
    <t>General Expenses</t>
  </si>
  <si>
    <t>Insurance</t>
  </si>
  <si>
    <t>Transportation</t>
  </si>
  <si>
    <t>Food Service</t>
  </si>
  <si>
    <t>Administration Fee (to PCSB)</t>
  </si>
  <si>
    <t>Management Fee</t>
  </si>
  <si>
    <t>Other General Expense</t>
  </si>
  <si>
    <t>Subtotal: General Expenses</t>
  </si>
  <si>
    <t>TOTAL ORDINARY EXPENSES</t>
  </si>
  <si>
    <t>NET ORDINARY INCOME</t>
  </si>
  <si>
    <t>Depreciation Expense</t>
  </si>
  <si>
    <t>NET INCOME</t>
  </si>
  <si>
    <t>Interest Expense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</si>
  <si>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</si>
  <si>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</si>
  <si>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</si>
  <si>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</si>
  <si>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</si>
  <si>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</si>
  <si>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</si>
  <si>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</si>
  <si>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</si>
  <si>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</si>
  <si>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</si>
  <si>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</si>
  <si>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</si>
  <si>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</si>
  <si>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</si>
  <si>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</si>
  <si>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</si>
  <si>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</si>
  <si>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</si>
  <si>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</si>
  <si>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</si>
  <si>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</si>
  <si>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</si>
  <si>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</si>
  <si>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</si>
  <si>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</si>
  <si>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</si>
  <si>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</si>
  <si>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</si>
  <si>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</si>
  <si>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</si>
  <si>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</si>
  <si>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</si>
  <si>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</si>
  <si>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</si>
  <si>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</si>
  <si>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</si>
  <si>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</si>
  <si>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</si>
  <si>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</si>
  <si>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</si>
  <si>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</si>
  <si>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</si>
  <si>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</si>
  <si>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</si>
  <si>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</si>
  <si>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</si>
  <si>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</si>
  <si>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No. of Positions</t>
  </si>
  <si>
    <t>Annual Budget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</si>
  <si>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</si>
  <si>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</si>
  <si>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</si>
  <si>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</si>
  <si>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</si>
  <si>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</si>
  <si>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</si>
  <si>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</si>
  <si>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</si>
  <si>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DC PCSB Interim Financials Reporting Template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</si>
  <si>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</si>
  <si>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</si>
  <si>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</si>
  <si>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</si>
  <si>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</si>
  <si>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</si>
  <si>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</si>
  <si>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</si>
  <si>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</si>
  <si>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</si>
  <si>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</si>
  <si>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</si>
  <si>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</si>
  <si>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</si>
  <si>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Democracy Prep Congress Heights</t>
  </si>
  <si>
    <t>FY16-17 Budget</t>
  </si>
  <si>
    <t>Democracy Prep Congress Heights Public Charter School</t>
  </si>
  <si>
    <t>Sean Reidy</t>
  </si>
  <si>
    <t>sreidy@democracyprep.org</t>
  </si>
  <si>
    <t>202-617-4667</t>
  </si>
  <si>
    <t>FY16-17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</si>
</sst>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??_);_(* @_)"/>
    <numFmt numFmtId="166" formatCode="#,##0.0000_);[Red]\(#,##0.0000\)"/>
    <numFmt numFmtId="167" formatCode="0.0000%"/>
    <numFmt numFmtId="168" formatCode="#,##0.00\d_);[Red]\(#,##0.00\d\)"/>
    <numFmt numFmtId="169" formatCode="#,##0.00\x_);[Red]\(#,##0.00\x\)"/>
    <numFmt numFmtId="170" formatCode="#,##0.00%_);[Red]\(#,##0.00%\)"/>
    <numFmt numFmtId="171" formatCode="[$USD]\ #,##0.00_);[Red]\([$USD]\ #,##0.00\)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Times New Roman"/>
    </font>
  </fonts>
  <fills count="6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92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4" applyNumberFormat="0" applyAlignment="0" applyProtection="0"/>
    <xf numFmtId="0" fontId="31" fillId="54" borderId="14" applyNumberFormat="0" applyAlignment="0" applyProtection="0"/>
    <xf numFmtId="0" fontId="31" fillId="54" borderId="14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6" fillId="0" borderId="0" applyFill="0" applyBorder="0" applyProtection="0"/>
    <xf numFmtId="167" fontId="36" fillId="0" borderId="0" applyFill="0" applyBorder="0" applyProtection="0"/>
    <xf numFmtId="168" fontId="37" fillId="0" borderId="0" applyFill="0" applyBorder="0" applyProtection="0"/>
    <xf numFmtId="169" fontId="37" fillId="0" borderId="0" applyFill="0" applyBorder="0" applyProtection="0"/>
    <xf numFmtId="40" fontId="37" fillId="0" borderId="0" applyFill="0" applyBorder="0" applyProtection="0"/>
    <xf numFmtId="170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68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69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0" fontId="36" fillId="0" borderId="0" applyFill="0" applyBorder="0" applyProtection="0"/>
    <xf numFmtId="0" fontId="36" fillId="0" borderId="0" applyNumberFormat="0" applyFill="0" applyBorder="0" applyProtection="0"/>
    <xf numFmtId="171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9" fillId="0" borderId="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10" fillId="0" borderId="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1" fillId="9" borderId="12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15" fillId="7" borderId="9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2" xfId="28" applyFont="1" applyFill="1" applyBorder="1"/>
    <xf numFmtId="0" fontId="3" fillId="0" borderId="22" xfId="28" applyFont="1" applyFill="1" applyBorder="1" applyAlignment="1">
      <alignment horizontal="center"/>
    </xf>
    <xf numFmtId="16" fontId="3" fillId="0" borderId="22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2" xfId="28" applyFont="1" applyFill="1" applyBorder="1"/>
    <xf numFmtId="1" fontId="22" fillId="0" borderId="22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2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2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2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2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2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1" fontId="3" fillId="2" borderId="22" xfId="28" applyNumberFormat="1" applyFont="1" applyFill="1" applyBorder="1" applyAlignment="1">
      <alignment horizontal="center"/>
    </xf>
    <xf numFmtId="1" fontId="22" fillId="2" borderId="22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2" fillId="0" borderId="0" xfId="2" applyFont="1" applyBorder="1"/>
    <xf numFmtId="0" fontId="3" fillId="0" borderId="0" xfId="2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4" fontId="3" fillId="2" borderId="4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4" fontId="22" fillId="0" borderId="3" xfId="2" applyNumberFormat="1" applyFont="1" applyFill="1" applyBorder="1"/>
    <xf numFmtId="164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4" fontId="3" fillId="2" borderId="4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0" fontId="25" fillId="0" borderId="0" xfId="2" applyFont="1" applyBorder="1"/>
    <xf numFmtId="0" fontId="22" fillId="0" borderId="3" xfId="2" applyFont="1" applyBorder="1"/>
    <xf numFmtId="164" fontId="22" fillId="0" borderId="3" xfId="2" applyNumberFormat="1" applyFont="1" applyBorder="1"/>
    <xf numFmtId="164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0" borderId="0" xfId="0" applyFont="1" applyFill="1"/>
    <xf numFmtId="0" fontId="22" fillId="0" borderId="0" xfId="29" applyFont="1" applyFill="1"/>
    <xf numFmtId="43" fontId="22" fillId="0" borderId="3" xfId="1" applyFont="1" applyFill="1" applyBorder="1"/>
    <xf numFmtId="44" fontId="22" fillId="0" borderId="3" xfId="980" applyFont="1" applyFill="1" applyBorder="1"/>
    <xf numFmtId="44" fontId="22" fillId="0" borderId="0" xfId="980" applyFont="1" applyFill="1" applyBorder="1"/>
    <xf numFmtId="43" fontId="22" fillId="0" borderId="0" xfId="1" applyFont="1" applyFill="1" applyBorder="1"/>
    <xf numFmtId="38" fontId="3" fillId="2" borderId="22" xfId="28" applyNumberFormat="1" applyFont="1" applyFill="1" applyBorder="1" applyAlignment="1">
      <alignment horizontal="center"/>
    </xf>
    <xf numFmtId="1" fontId="22" fillId="0" borderId="22" xfId="28" applyNumberFormat="1" applyFont="1" applyFill="1" applyBorder="1" applyAlignment="1">
      <alignment horizontal="center" wrapText="1"/>
    </xf>
    <xf numFmtId="164" fontId="3" fillId="0" borderId="0" xfId="1" applyNumberFormat="1" applyFont="1"/>
    <xf numFmtId="164" fontId="62" fillId="0" borderId="0" xfId="1" applyNumberFormat="1" applyFont="1" applyBorder="1"/>
    <xf numFmtId="164" fontId="22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Border="1"/>
    <xf numFmtId="164" fontId="22" fillId="0" borderId="3" xfId="1" applyNumberFormat="1" applyFont="1" applyFill="1" applyBorder="1"/>
    <xf numFmtId="164" fontId="22" fillId="0" borderId="0" xfId="1" applyNumberFormat="1" applyFont="1" applyBorder="1"/>
    <xf numFmtId="164" fontId="22" fillId="0" borderId="0" xfId="1" applyNumberFormat="1" applyFont="1" applyFill="1" applyBorder="1"/>
    <xf numFmtId="164" fontId="22" fillId="0" borderId="3" xfId="1" applyNumberFormat="1" applyFont="1" applyBorder="1"/>
    <xf numFmtId="164" fontId="22" fillId="0" borderId="1" xfId="1" applyNumberFormat="1" applyFont="1" applyBorder="1"/>
    <xf numFmtId="164" fontId="22" fillId="0" borderId="2" xfId="1" applyNumberFormat="1" applyFont="1" applyFill="1" applyBorder="1"/>
    <xf numFmtId="0" fontId="22" fillId="0" borderId="22" xfId="28" applyFont="1" applyFill="1" applyBorder="1" applyAlignment="1">
      <alignment horizontal="center" wrapText="1"/>
    </xf>
    <xf numFmtId="0" fontId="22" fillId="0" borderId="23" xfId="28" applyFont="1" applyFill="1" applyBorder="1" applyAlignment="1">
      <alignment horizontal="center" wrapText="1"/>
    </xf>
    <xf numFmtId="0" fontId="22" fillId="0" borderId="24" xfId="28" applyFont="1" applyFill="1" applyBorder="1" applyAlignment="1">
      <alignment horizontal="center" wrapText="1"/>
    </xf>
    <xf numFmtId="0" fontId="67" fillId="60" borderId="0" xfId="991" applyFont="1" applyFill="1"/>
  </cellXfs>
  <cellStyles count="992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1" xfId="530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/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Leberkaese/sample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reidy@democracyprep.org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view="pageBreakPreview" zoomScaleSheetLayoutView="100" workbookViewId="0">
      <selection activeCell="A2" sqref="A2"/>
    </sheetView>
  </sheetViews>
  <sheetFormatPr baseColWidth="10" defaultColWidth="9.1640625" defaultRowHeight="12" x14ac:dyDescent="0"/>
  <cols>
    <col min="1" max="1" width="49.6640625" style="65" bestFit="1" customWidth="1"/>
    <col min="2" max="3" width="9.1640625" style="65"/>
    <col min="4" max="4" width="52.5" style="65" customWidth="1"/>
    <col min="5" max="16384" width="9.1640625" style="65"/>
  </cols>
  <sheetData>
    <row r="1" spans="1:1">
      <c r="A1" s="64" t="s">
        <v>124</v>
      </c>
    </row>
    <row r="2" spans="1:1">
      <c r="A2" s="66" t="s">
        <v>141</v>
      </c>
    </row>
    <row r="4" spans="1:1">
      <c r="A4" s="66" t="s">
        <v>142</v>
      </c>
    </row>
    <row r="5" spans="1:1">
      <c r="A5" s="88" t="s">
        <v>143</v>
      </c>
    </row>
    <row r="6" spans="1:1">
      <c r="A6" s="66" t="s">
        <v>144</v>
      </c>
    </row>
    <row r="8" spans="1:1">
      <c r="A8" s="66" t="s">
        <v>145</v>
      </c>
    </row>
    <row r="9" spans="1:1">
      <c r="A9" s="66"/>
    </row>
  </sheetData>
  <hyperlinks>
    <hyperlink ref="A5" r:id="rId1"/>
  </hyperlinks>
  <pageMargins left="0.7" right="0.7" top="0.75" bottom="0.75" header="0.3" footer="0.3"/>
  <pageSetup paperSize="125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F67"/>
  <sheetViews>
    <sheetView showGridLines="0" tabSelected="1" view="pageBreakPreview" topLeftCell="A42" zoomScaleNormal="115" zoomScaleSheetLayoutView="100" zoomScalePageLayoutView="115" workbookViewId="0">
      <selection activeCell="B84" sqref="B84"/>
    </sheetView>
  </sheetViews>
  <sheetFormatPr baseColWidth="10" defaultColWidth="7.5" defaultRowHeight="12" x14ac:dyDescent="0"/>
  <cols>
    <col min="1" max="1" width="31.5" style="2" customWidth="1"/>
    <col min="2" max="2" width="26.5" style="34" customWidth="1"/>
    <col min="3" max="4" width="15.6640625" style="34" customWidth="1"/>
    <col min="5" max="5" width="12" style="2" bestFit="1" customWidth="1"/>
    <col min="6" max="6" width="11.1640625" style="2" bestFit="1" customWidth="1"/>
    <col min="7" max="16384" width="7.5" style="2"/>
  </cols>
  <sheetData>
    <row r="1" spans="1:4">
      <c r="A1" s="67" t="str">
        <f>'Cover Sheet'!A2</f>
        <v>Democracy Prep Congress Heights Public Charter School</v>
      </c>
    </row>
    <row r="2" spans="1:4">
      <c r="A2" s="2" t="str">
        <f>'Cover Sheet'!A8&amp;" Enrollment Data"</f>
        <v>FY16-17 Enrollment Data</v>
      </c>
    </row>
    <row r="3" spans="1:4">
      <c r="A3" s="13"/>
      <c r="B3" s="14"/>
      <c r="C3" s="15"/>
      <c r="D3" s="15"/>
    </row>
    <row r="4" spans="1:4" ht="31.5" customHeight="1">
      <c r="A4" s="86" t="s">
        <v>65</v>
      </c>
      <c r="B4" s="85" t="s">
        <v>108</v>
      </c>
      <c r="C4" s="85" t="s">
        <v>123</v>
      </c>
      <c r="D4" s="85" t="s">
        <v>122</v>
      </c>
    </row>
    <row r="5" spans="1:4" ht="16.5" customHeight="1">
      <c r="A5" s="87"/>
      <c r="B5" s="85"/>
      <c r="C5" s="85"/>
      <c r="D5" s="85"/>
    </row>
    <row r="6" spans="1:4" ht="12.75" customHeight="1">
      <c r="A6" s="7" t="s">
        <v>66</v>
      </c>
      <c r="B6" s="35">
        <v>51</v>
      </c>
      <c r="C6" s="35">
        <v>50</v>
      </c>
      <c r="D6" s="35"/>
    </row>
    <row r="7" spans="1:4" ht="12.75" customHeight="1">
      <c r="A7" s="7" t="s">
        <v>67</v>
      </c>
      <c r="B7" s="35">
        <v>51</v>
      </c>
      <c r="C7" s="35">
        <v>50</v>
      </c>
      <c r="D7" s="35"/>
    </row>
    <row r="8" spans="1:4" ht="12.75" customHeight="1">
      <c r="A8" s="7" t="s">
        <v>68</v>
      </c>
      <c r="B8" s="35">
        <v>101</v>
      </c>
      <c r="C8" s="35">
        <v>82</v>
      </c>
      <c r="D8" s="35"/>
    </row>
    <row r="9" spans="1:4" ht="12.75" customHeight="1">
      <c r="A9" s="7" t="s">
        <v>69</v>
      </c>
      <c r="B9" s="35">
        <v>58</v>
      </c>
      <c r="C9" s="35">
        <v>55</v>
      </c>
      <c r="D9" s="35"/>
    </row>
    <row r="10" spans="1:4" ht="12.75" customHeight="1">
      <c r="A10" s="7" t="s">
        <v>70</v>
      </c>
      <c r="B10" s="35">
        <v>103</v>
      </c>
      <c r="C10" s="35">
        <v>82</v>
      </c>
      <c r="D10" s="35"/>
    </row>
    <row r="11" spans="1:4" ht="12.75" customHeight="1">
      <c r="A11" s="7" t="s">
        <v>71</v>
      </c>
      <c r="B11" s="35">
        <v>89</v>
      </c>
      <c r="C11" s="35">
        <v>82</v>
      </c>
      <c r="D11" s="35"/>
    </row>
    <row r="12" spans="1:4" ht="12.75" customHeight="1">
      <c r="A12" s="7" t="s">
        <v>72</v>
      </c>
      <c r="B12" s="35">
        <v>59</v>
      </c>
      <c r="C12" s="35">
        <v>55</v>
      </c>
      <c r="D12" s="35"/>
    </row>
    <row r="13" spans="1:4" ht="12.75" customHeight="1">
      <c r="A13" s="7" t="s">
        <v>73</v>
      </c>
      <c r="B13" s="35">
        <v>55</v>
      </c>
      <c r="C13" s="35">
        <v>82</v>
      </c>
      <c r="D13" s="35"/>
    </row>
    <row r="14" spans="1:4" ht="12.75" customHeight="1">
      <c r="A14" s="8" t="s">
        <v>74</v>
      </c>
      <c r="B14" s="35">
        <v>53</v>
      </c>
      <c r="C14" s="35">
        <v>55</v>
      </c>
      <c r="D14" s="35"/>
    </row>
    <row r="15" spans="1:4" ht="12.75" customHeight="1">
      <c r="A15" s="8" t="s">
        <v>75</v>
      </c>
      <c r="B15" s="35">
        <v>0</v>
      </c>
      <c r="C15" s="35">
        <v>55</v>
      </c>
      <c r="D15" s="35"/>
    </row>
    <row r="16" spans="1:4" ht="12.75" customHeight="1">
      <c r="A16" s="8" t="s">
        <v>76</v>
      </c>
      <c r="B16" s="35">
        <v>0</v>
      </c>
      <c r="C16" s="35">
        <v>0</v>
      </c>
      <c r="D16" s="35"/>
    </row>
    <row r="17" spans="1:4" ht="12.75" customHeight="1">
      <c r="A17" s="7" t="s">
        <v>77</v>
      </c>
      <c r="B17" s="35">
        <v>0</v>
      </c>
      <c r="C17" s="35">
        <v>0</v>
      </c>
      <c r="D17" s="35"/>
    </row>
    <row r="18" spans="1:4" ht="12.75" customHeight="1">
      <c r="A18" s="7" t="s">
        <v>78</v>
      </c>
      <c r="B18" s="35">
        <v>0</v>
      </c>
      <c r="C18" s="35">
        <v>0</v>
      </c>
      <c r="D18" s="35"/>
    </row>
    <row r="19" spans="1:4" ht="12.75" customHeight="1">
      <c r="A19" s="7" t="s">
        <v>79</v>
      </c>
      <c r="B19" s="35">
        <v>0</v>
      </c>
      <c r="C19" s="35">
        <v>0</v>
      </c>
      <c r="D19" s="35"/>
    </row>
    <row r="20" spans="1:4" ht="12.75" customHeight="1">
      <c r="A20" s="7" t="s">
        <v>80</v>
      </c>
      <c r="B20" s="35">
        <v>0</v>
      </c>
      <c r="C20" s="35">
        <v>0</v>
      </c>
      <c r="D20" s="35"/>
    </row>
    <row r="21" spans="1:4" ht="12.75" customHeight="1">
      <c r="A21" s="7" t="s">
        <v>81</v>
      </c>
      <c r="B21" s="35">
        <v>0</v>
      </c>
      <c r="C21" s="35">
        <v>0</v>
      </c>
      <c r="D21" s="35"/>
    </row>
    <row r="22" spans="1:4" ht="12.75" customHeight="1">
      <c r="A22" s="7" t="s">
        <v>82</v>
      </c>
      <c r="B22" s="35">
        <v>0</v>
      </c>
      <c r="C22" s="35">
        <v>0</v>
      </c>
      <c r="D22" s="35"/>
    </row>
    <row r="23" spans="1:4" ht="13.5" customHeight="1">
      <c r="A23" s="8" t="s">
        <v>83</v>
      </c>
      <c r="B23" s="35">
        <v>0</v>
      </c>
      <c r="C23" s="35">
        <v>0</v>
      </c>
      <c r="D23" s="35"/>
    </row>
    <row r="24" spans="1:4">
      <c r="A24" s="16" t="s">
        <v>84</v>
      </c>
      <c r="B24" s="12">
        <f>SUM(B6:B23)</f>
        <v>620</v>
      </c>
      <c r="C24" s="12">
        <f>SUM(C6:C23)</f>
        <v>648</v>
      </c>
      <c r="D24" s="12">
        <f>SUM(D6:D23)</f>
        <v>0</v>
      </c>
    </row>
    <row r="25" spans="1:4">
      <c r="A25" s="17"/>
      <c r="B25" s="18"/>
      <c r="C25" s="10"/>
      <c r="D25" s="10"/>
    </row>
    <row r="26" spans="1:4" ht="24">
      <c r="A26" s="16" t="s">
        <v>85</v>
      </c>
      <c r="B26" s="19" t="str">
        <f>B4</f>
        <v>Previous Year's Enrollment</v>
      </c>
      <c r="C26" s="19" t="str">
        <f>C4</f>
        <v>Budgeted Enrollment</v>
      </c>
      <c r="D26" s="19" t="str">
        <f>D4</f>
        <v>Audited Enrollment</v>
      </c>
    </row>
    <row r="27" spans="1:4" ht="20.25" customHeight="1">
      <c r="A27" s="7" t="s">
        <v>86</v>
      </c>
      <c r="B27" s="35">
        <v>42</v>
      </c>
      <c r="C27" s="35">
        <v>52</v>
      </c>
      <c r="D27" s="35"/>
    </row>
    <row r="28" spans="1:4" ht="12.75" customHeight="1">
      <c r="A28" s="7" t="s">
        <v>87</v>
      </c>
      <c r="B28" s="35">
        <v>14</v>
      </c>
      <c r="C28" s="35">
        <v>15</v>
      </c>
      <c r="D28" s="35"/>
    </row>
    <row r="29" spans="1:4" ht="12.75" customHeight="1">
      <c r="A29" s="7" t="s">
        <v>88</v>
      </c>
      <c r="B29" s="35">
        <v>7</v>
      </c>
      <c r="C29" s="35">
        <v>8</v>
      </c>
      <c r="D29" s="35"/>
    </row>
    <row r="30" spans="1:4" ht="12.75" customHeight="1">
      <c r="A30" s="7" t="s">
        <v>89</v>
      </c>
      <c r="B30" s="35">
        <v>7</v>
      </c>
      <c r="C30" s="35">
        <v>6</v>
      </c>
      <c r="D30" s="35"/>
    </row>
    <row r="31" spans="1:4" ht="13.5" customHeight="1">
      <c r="A31" s="16" t="s">
        <v>90</v>
      </c>
      <c r="B31" s="12">
        <f>SUM(B27:B30)</f>
        <v>70</v>
      </c>
      <c r="C31" s="12">
        <f>SUM(C27:C30)</f>
        <v>81</v>
      </c>
      <c r="D31" s="12">
        <f>SUM(D27:D30)</f>
        <v>0</v>
      </c>
    </row>
    <row r="32" spans="1:4" ht="13.5" customHeight="1">
      <c r="A32" s="20"/>
      <c r="B32" s="21"/>
      <c r="C32" s="10"/>
      <c r="D32" s="10"/>
    </row>
    <row r="33" spans="1:6">
      <c r="A33" s="22"/>
      <c r="B33" s="21"/>
      <c r="C33" s="10"/>
      <c r="D33" s="10"/>
    </row>
    <row r="34" spans="1:6" ht="32.25" customHeight="1">
      <c r="A34" s="11" t="s">
        <v>91</v>
      </c>
      <c r="B34" s="19" t="str">
        <f>B26</f>
        <v>Previous Year's Enrollment</v>
      </c>
      <c r="C34" s="19" t="str">
        <f>C26</f>
        <v>Budgeted Enrollment</v>
      </c>
      <c r="D34" s="19" t="str">
        <f>D26</f>
        <v>Audited Enrollment</v>
      </c>
    </row>
    <row r="35" spans="1:6" ht="21.75" customHeight="1">
      <c r="A35" s="11" t="s">
        <v>92</v>
      </c>
      <c r="B35" s="36">
        <v>1</v>
      </c>
      <c r="C35" s="36">
        <v>16</v>
      </c>
      <c r="D35" s="36"/>
    </row>
    <row r="36" spans="1:6">
      <c r="A36" s="20"/>
      <c r="B36" s="21"/>
      <c r="C36" s="10"/>
      <c r="D36" s="10"/>
    </row>
    <row r="37" spans="1:6" ht="12.75" customHeight="1">
      <c r="A37" s="11" t="s">
        <v>93</v>
      </c>
      <c r="B37" s="19" t="str">
        <f>B34</f>
        <v>Previous Year's Enrollment</v>
      </c>
      <c r="C37" s="19" t="str">
        <f>C34</f>
        <v>Budgeted Enrollment</v>
      </c>
      <c r="D37" s="19" t="str">
        <f>D34</f>
        <v>Audited Enrollment</v>
      </c>
    </row>
    <row r="38" spans="1:6" ht="12.75" customHeight="1">
      <c r="A38" s="6" t="s">
        <v>94</v>
      </c>
      <c r="B38" s="72">
        <v>8</v>
      </c>
      <c r="C38" s="35">
        <v>0</v>
      </c>
      <c r="D38" s="35"/>
    </row>
    <row r="39" spans="1:6" ht="12.75" customHeight="1">
      <c r="A39" s="6" t="s">
        <v>95</v>
      </c>
      <c r="B39" s="72">
        <v>0</v>
      </c>
      <c r="C39" s="35">
        <v>0</v>
      </c>
      <c r="D39" s="35"/>
    </row>
    <row r="40" spans="1:6" ht="12.75" customHeight="1">
      <c r="A40" s="6" t="s">
        <v>96</v>
      </c>
      <c r="B40" s="72">
        <v>0</v>
      </c>
      <c r="C40" s="35">
        <v>0</v>
      </c>
      <c r="D40" s="35"/>
      <c r="F40" s="3"/>
    </row>
    <row r="41" spans="1:6" ht="12.75" customHeight="1">
      <c r="A41" s="6" t="s">
        <v>97</v>
      </c>
      <c r="B41" s="72">
        <v>0</v>
      </c>
      <c r="C41" s="35">
        <v>0</v>
      </c>
      <c r="D41" s="35"/>
      <c r="F41" s="3"/>
    </row>
    <row r="42" spans="1:6" ht="13.5" customHeight="1">
      <c r="A42" s="23" t="s">
        <v>98</v>
      </c>
      <c r="B42" s="12">
        <f>SUM(B38:B41)</f>
        <v>8</v>
      </c>
      <c r="C42" s="12">
        <f>SUM(C38:C41)</f>
        <v>0</v>
      </c>
      <c r="D42" s="12">
        <f>SUM(D38:D41)</f>
        <v>0</v>
      </c>
      <c r="F42" s="3"/>
    </row>
    <row r="43" spans="1:6" ht="13.5" customHeight="1">
      <c r="A43" s="17"/>
      <c r="B43" s="21"/>
      <c r="C43" s="24"/>
      <c r="D43" s="24"/>
      <c r="F43" s="3"/>
    </row>
    <row r="44" spans="1:6" ht="24">
      <c r="A44" s="25" t="s">
        <v>99</v>
      </c>
      <c r="B44" s="19" t="str">
        <f>B34</f>
        <v>Previous Year's Enrollment</v>
      </c>
      <c r="C44" s="19" t="str">
        <f>C34</f>
        <v>Budgeted Enrollment</v>
      </c>
      <c r="D44" s="19" t="str">
        <f>D34</f>
        <v>Audited Enrollment</v>
      </c>
      <c r="F44" s="3"/>
    </row>
    <row r="45" spans="1:6" ht="13.5" customHeight="1">
      <c r="A45" s="11" t="s">
        <v>100</v>
      </c>
      <c r="B45" s="36">
        <v>0</v>
      </c>
      <c r="C45" s="36">
        <v>0</v>
      </c>
      <c r="D45" s="36"/>
      <c r="F45" s="3"/>
    </row>
    <row r="46" spans="1:6" ht="13.5" customHeight="1">
      <c r="A46" s="20"/>
      <c r="B46" s="10"/>
      <c r="C46" s="26"/>
      <c r="D46" s="26"/>
      <c r="F46" s="3"/>
    </row>
    <row r="47" spans="1:6" ht="12.75" customHeight="1">
      <c r="A47" s="6" t="s">
        <v>101</v>
      </c>
      <c r="B47" s="73" t="str">
        <f>B44</f>
        <v>Previous Year's Enrollment</v>
      </c>
      <c r="C47" s="19" t="str">
        <f>C44</f>
        <v>Budgeted Enrollment</v>
      </c>
      <c r="D47" s="19" t="str">
        <f>D44</f>
        <v>Audited Enrollment</v>
      </c>
      <c r="F47" s="3"/>
    </row>
    <row r="48" spans="1:6" ht="13.5" customHeight="1">
      <c r="A48" s="11" t="s">
        <v>101</v>
      </c>
      <c r="B48" s="36">
        <v>0</v>
      </c>
      <c r="C48" s="36">
        <v>0</v>
      </c>
      <c r="D48" s="36"/>
      <c r="F48" s="3"/>
    </row>
    <row r="49" spans="1:6">
      <c r="A49" s="20"/>
      <c r="B49" s="21"/>
      <c r="C49" s="26"/>
      <c r="D49" s="26"/>
      <c r="F49" s="3"/>
    </row>
    <row r="50" spans="1:6" ht="12.75" customHeight="1">
      <c r="A50" s="11" t="s">
        <v>120</v>
      </c>
      <c r="B50" s="19" t="str">
        <f>B47</f>
        <v>Previous Year's Enrollment</v>
      </c>
      <c r="C50" s="19" t="str">
        <f>C47</f>
        <v>Budgeted Enrollment</v>
      </c>
      <c r="D50" s="19" t="str">
        <f>D47</f>
        <v>Audited Enrollment</v>
      </c>
      <c r="F50" s="3"/>
    </row>
    <row r="51" spans="1:6" ht="13.5" customHeight="1">
      <c r="A51" s="11" t="s">
        <v>121</v>
      </c>
      <c r="B51" s="36">
        <v>291</v>
      </c>
      <c r="C51" s="36">
        <v>309</v>
      </c>
      <c r="D51" s="36"/>
      <c r="F51" s="3"/>
    </row>
    <row r="52" spans="1:6">
      <c r="A52" s="27"/>
      <c r="B52" s="9"/>
      <c r="C52" s="28"/>
      <c r="D52" s="28"/>
      <c r="F52" s="3"/>
    </row>
    <row r="53" spans="1:6" ht="24">
      <c r="A53" s="11" t="s">
        <v>102</v>
      </c>
      <c r="B53" s="19" t="str">
        <f>B44</f>
        <v>Previous Year's Enrollment</v>
      </c>
      <c r="C53" s="19" t="str">
        <f>C44</f>
        <v>Budgeted Enrollment</v>
      </c>
      <c r="D53" s="19" t="str">
        <f>D44</f>
        <v>Audited Enrollment</v>
      </c>
      <c r="F53" s="3"/>
    </row>
    <row r="54" spans="1:6" ht="12.75" customHeight="1">
      <c r="A54" s="6" t="s">
        <v>103</v>
      </c>
      <c r="B54" s="35">
        <v>8</v>
      </c>
      <c r="C54" s="35">
        <v>0</v>
      </c>
      <c r="D54" s="35"/>
      <c r="F54" s="3"/>
    </row>
    <row r="55" spans="1:6" ht="12.75" customHeight="1">
      <c r="A55" s="6" t="s">
        <v>104</v>
      </c>
      <c r="B55" s="35">
        <v>0</v>
      </c>
      <c r="C55" s="35">
        <v>0</v>
      </c>
      <c r="D55" s="35"/>
      <c r="F55" s="3"/>
    </row>
    <row r="56" spans="1:6" ht="12.75" customHeight="1">
      <c r="A56" s="6" t="s">
        <v>105</v>
      </c>
      <c r="B56" s="35">
        <v>0</v>
      </c>
      <c r="C56" s="35">
        <v>0</v>
      </c>
      <c r="D56" s="35"/>
      <c r="F56" s="3"/>
    </row>
    <row r="57" spans="1:6" ht="12.75" customHeight="1">
      <c r="A57" s="6" t="s">
        <v>106</v>
      </c>
      <c r="B57" s="35">
        <v>0</v>
      </c>
      <c r="C57" s="35">
        <v>0</v>
      </c>
      <c r="D57" s="35"/>
      <c r="F57" s="3"/>
    </row>
    <row r="58" spans="1:6" ht="14.25" customHeight="1">
      <c r="A58" s="29" t="s">
        <v>107</v>
      </c>
      <c r="B58" s="12">
        <f>SUM(B54:B57)</f>
        <v>8</v>
      </c>
      <c r="C58" s="12">
        <f>SUM(C54:C57)</f>
        <v>0</v>
      </c>
      <c r="D58" s="12">
        <f>SUM(D54:D57)</f>
        <v>0</v>
      </c>
      <c r="F58" s="3"/>
    </row>
    <row r="59" spans="1:6">
      <c r="A59" s="4"/>
      <c r="B59" s="9"/>
      <c r="C59" s="10"/>
      <c r="D59" s="10"/>
      <c r="F59" s="3"/>
    </row>
    <row r="60" spans="1:6">
      <c r="A60" s="30"/>
      <c r="B60" s="31"/>
      <c r="C60" s="31"/>
      <c r="D60" s="31"/>
      <c r="F60" s="3"/>
    </row>
    <row r="61" spans="1:6">
      <c r="A61" s="32"/>
      <c r="B61" s="33"/>
      <c r="C61" s="33"/>
      <c r="D61" s="33"/>
      <c r="E61" s="3"/>
      <c r="F61" s="5"/>
    </row>
    <row r="62" spans="1:6">
      <c r="F62" s="3"/>
    </row>
    <row r="63" spans="1:6">
      <c r="F63" s="3"/>
    </row>
    <row r="64" spans="1:6">
      <c r="F64" s="3"/>
    </row>
    <row r="65" spans="6:6">
      <c r="F65" s="3"/>
    </row>
    <row r="66" spans="6:6">
      <c r="F66" s="3"/>
    </row>
    <row r="67" spans="6:6">
      <c r="F67" s="3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5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Y75"/>
  <sheetViews>
    <sheetView showGridLines="0" view="pageBreakPreview" zoomScaleSheetLayoutView="100" workbookViewId="0">
      <pane xSplit="7" ySplit="5" topLeftCell="S62" activePane="bottomRight" state="frozen"/>
      <selection pane="topRight" activeCell="H1" sqref="H1"/>
      <selection pane="bottomLeft" activeCell="A6" sqref="A6"/>
      <selection pane="bottomRight" activeCell="C16" sqref="C16"/>
    </sheetView>
  </sheetViews>
  <sheetFormatPr baseColWidth="10" defaultColWidth="9.1640625" defaultRowHeight="12.75" customHeight="1" x14ac:dyDescent="0"/>
  <cols>
    <col min="1" max="1" width="27.1640625" style="37" bestFit="1" customWidth="1"/>
    <col min="2" max="2" width="34" style="37" bestFit="1" customWidth="1"/>
    <col min="3" max="3" width="2.83203125" style="37" customWidth="1"/>
    <col min="4" max="4" width="13.5" style="37" bestFit="1" customWidth="1"/>
    <col min="5" max="5" width="2.6640625" style="1" customWidth="1"/>
    <col min="6" max="6" width="13.5" style="38" bestFit="1" customWidth="1"/>
    <col min="7" max="7" width="2.6640625" style="1" customWidth="1"/>
    <col min="8" max="9" width="8.5" style="74" bestFit="1" customWidth="1"/>
    <col min="10" max="10" width="10.5" style="74" bestFit="1" customWidth="1"/>
    <col min="11" max="11" width="10" style="74" bestFit="1" customWidth="1"/>
    <col min="12" max="12" width="8.5" style="74" bestFit="1" customWidth="1"/>
    <col min="13" max="13" width="9.83203125" style="74" bestFit="1" customWidth="1"/>
    <col min="14" max="15" width="10" style="74" bestFit="1" customWidth="1"/>
    <col min="16" max="16" width="8.5" style="74" bestFit="1" customWidth="1"/>
    <col min="17" max="17" width="9.33203125" style="74" bestFit="1" customWidth="1"/>
    <col min="18" max="18" width="8.5" style="74" bestFit="1" customWidth="1"/>
    <col min="19" max="19" width="10" style="74" bestFit="1" customWidth="1"/>
    <col min="20" max="22" width="8.5" style="74" bestFit="1" customWidth="1"/>
    <col min="23" max="23" width="10" style="74" bestFit="1" customWidth="1"/>
    <col min="24" max="24" width="2.6640625" style="74" customWidth="1"/>
    <col min="25" max="25" width="14" style="74" bestFit="1" customWidth="1"/>
    <col min="26" max="16384" width="9.1640625" style="37"/>
  </cols>
  <sheetData>
    <row r="1" spans="1:25" ht="12.75" customHeight="1">
      <c r="A1" s="54" t="s">
        <v>139</v>
      </c>
      <c r="B1" s="54"/>
    </row>
    <row r="2" spans="1:25" ht="12.75" customHeight="1">
      <c r="A2" s="37" t="s">
        <v>140</v>
      </c>
    </row>
    <row r="3" spans="1:25" ht="12">
      <c r="A3" s="39"/>
      <c r="B3" s="40"/>
      <c r="C3" s="39"/>
      <c r="D3" s="40"/>
      <c r="F3" s="1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75"/>
    </row>
    <row r="4" spans="1:25" ht="12">
      <c r="A4" s="1"/>
      <c r="B4" s="1"/>
      <c r="C4" s="39"/>
      <c r="D4" s="41" t="s">
        <v>137</v>
      </c>
      <c r="E4" s="42"/>
      <c r="F4" s="42"/>
      <c r="G4" s="42"/>
      <c r="H4" s="76" t="s">
        <v>125</v>
      </c>
      <c r="I4" s="76" t="s">
        <v>126</v>
      </c>
      <c r="J4" s="76" t="s">
        <v>127</v>
      </c>
      <c r="K4" s="76" t="s">
        <v>109</v>
      </c>
      <c r="L4" s="76" t="s">
        <v>128</v>
      </c>
      <c r="M4" s="76" t="s">
        <v>129</v>
      </c>
      <c r="N4" s="76" t="s">
        <v>130</v>
      </c>
      <c r="O4" s="76" t="s">
        <v>110</v>
      </c>
      <c r="P4" s="76" t="s">
        <v>131</v>
      </c>
      <c r="Q4" s="76" t="s">
        <v>132</v>
      </c>
      <c r="R4" s="76" t="s">
        <v>133</v>
      </c>
      <c r="S4" s="76" t="s">
        <v>111</v>
      </c>
      <c r="T4" s="76" t="s">
        <v>134</v>
      </c>
      <c r="U4" s="76" t="s">
        <v>135</v>
      </c>
      <c r="V4" s="76" t="s">
        <v>136</v>
      </c>
      <c r="W4" s="76" t="s">
        <v>112</v>
      </c>
      <c r="X4" s="75"/>
      <c r="Y4" s="76" t="s">
        <v>138</v>
      </c>
    </row>
    <row r="5" spans="1:25" ht="12">
      <c r="B5" s="1"/>
      <c r="C5" s="39"/>
      <c r="D5" s="43" t="s">
        <v>0</v>
      </c>
      <c r="E5" s="44"/>
      <c r="F5" s="44"/>
      <c r="G5" s="44"/>
      <c r="H5" s="77" t="str">
        <f>D5</f>
        <v>Budget</v>
      </c>
      <c r="I5" s="77" t="str">
        <f>H5</f>
        <v>Budget</v>
      </c>
      <c r="J5" s="77" t="str">
        <f t="shared" ref="J5:W5" si="0">I5</f>
        <v>Budget</v>
      </c>
      <c r="K5" s="77" t="str">
        <f t="shared" si="0"/>
        <v>Budget</v>
      </c>
      <c r="L5" s="77" t="str">
        <f t="shared" si="0"/>
        <v>Budget</v>
      </c>
      <c r="M5" s="77" t="str">
        <f t="shared" si="0"/>
        <v>Budget</v>
      </c>
      <c r="N5" s="77" t="str">
        <f t="shared" si="0"/>
        <v>Budget</v>
      </c>
      <c r="O5" s="77" t="str">
        <f t="shared" si="0"/>
        <v>Budget</v>
      </c>
      <c r="P5" s="77" t="str">
        <f t="shared" si="0"/>
        <v>Budget</v>
      </c>
      <c r="Q5" s="77" t="str">
        <f t="shared" si="0"/>
        <v>Budget</v>
      </c>
      <c r="R5" s="77" t="str">
        <f t="shared" si="0"/>
        <v>Budget</v>
      </c>
      <c r="S5" s="77" t="str">
        <f t="shared" si="0"/>
        <v>Budget</v>
      </c>
      <c r="T5" s="77" t="str">
        <f t="shared" si="0"/>
        <v>Budget</v>
      </c>
      <c r="U5" s="77" t="str">
        <f t="shared" si="0"/>
        <v>Budget</v>
      </c>
      <c r="V5" s="77" t="str">
        <f t="shared" si="0"/>
        <v>Budget</v>
      </c>
      <c r="W5" s="77" t="str">
        <f t="shared" si="0"/>
        <v>Budget</v>
      </c>
      <c r="X5" s="75"/>
      <c r="Y5" s="77" t="s">
        <v>114</v>
      </c>
    </row>
    <row r="6" spans="1:25" ht="12">
      <c r="A6" s="45" t="s">
        <v>1</v>
      </c>
      <c r="B6" s="1"/>
      <c r="C6" s="39"/>
      <c r="X6" s="75"/>
    </row>
    <row r="7" spans="1:25" ht="12">
      <c r="A7" s="40"/>
      <c r="B7" s="40" t="s">
        <v>2</v>
      </c>
      <c r="C7" s="39"/>
      <c r="D7" s="46">
        <v>7708834</v>
      </c>
      <c r="E7" s="47"/>
      <c r="F7" s="47"/>
      <c r="G7" s="47"/>
      <c r="H7" s="46">
        <f>8766344/12</f>
        <v>730528.66666666663</v>
      </c>
      <c r="I7" s="46">
        <f t="shared" ref="I7:J7" si="1">8766344/12</f>
        <v>730528.66666666663</v>
      </c>
      <c r="J7" s="46">
        <f t="shared" si="1"/>
        <v>730528.66666666663</v>
      </c>
      <c r="K7" s="47">
        <f>SUM(H7:J7)</f>
        <v>2191586</v>
      </c>
      <c r="L7" s="46">
        <f t="shared" ref="L7:N7" si="2">8766344/12</f>
        <v>730528.66666666663</v>
      </c>
      <c r="M7" s="46">
        <f t="shared" si="2"/>
        <v>730528.66666666663</v>
      </c>
      <c r="N7" s="46">
        <f t="shared" si="2"/>
        <v>730528.66666666663</v>
      </c>
      <c r="O7" s="47">
        <f>SUM(L7:N7)</f>
        <v>2191586</v>
      </c>
      <c r="P7" s="46">
        <f t="shared" ref="P7:R7" si="3">8766344/12</f>
        <v>730528.66666666663</v>
      </c>
      <c r="Q7" s="46">
        <f t="shared" si="3"/>
        <v>730528.66666666663</v>
      </c>
      <c r="R7" s="46">
        <f t="shared" si="3"/>
        <v>730528.66666666663</v>
      </c>
      <c r="S7" s="47">
        <f>SUM(P7:R7)</f>
        <v>2191586</v>
      </c>
      <c r="T7" s="46">
        <f t="shared" ref="T7:V7" si="4">8766344/12</f>
        <v>730528.66666666663</v>
      </c>
      <c r="U7" s="46">
        <f t="shared" si="4"/>
        <v>730528.66666666663</v>
      </c>
      <c r="V7" s="46">
        <f t="shared" si="4"/>
        <v>730528.66666666663</v>
      </c>
      <c r="W7" s="47">
        <f>SUM(T7:V7)</f>
        <v>2191586</v>
      </c>
      <c r="X7" s="75"/>
      <c r="Y7" s="74">
        <f>SUM(K7,O7,S7,W7)</f>
        <v>8766344</v>
      </c>
    </row>
    <row r="8" spans="1:25" ht="12">
      <c r="A8" s="40"/>
      <c r="B8" s="40" t="s">
        <v>3</v>
      </c>
      <c r="C8" s="39"/>
      <c r="D8" s="46"/>
      <c r="E8" s="47"/>
      <c r="F8" s="47"/>
      <c r="G8" s="47"/>
      <c r="H8" s="46"/>
      <c r="I8" s="46"/>
      <c r="J8" s="46"/>
      <c r="K8" s="47">
        <f t="shared" ref="K8:K15" si="5">SUM(H8:J8)</f>
        <v>0</v>
      </c>
      <c r="L8" s="46"/>
      <c r="M8" s="46"/>
      <c r="N8" s="46"/>
      <c r="O8" s="47">
        <f t="shared" ref="O8:O15" si="6">SUM(L8:N8)</f>
        <v>0</v>
      </c>
      <c r="P8" s="46"/>
      <c r="Q8" s="46"/>
      <c r="R8" s="46"/>
      <c r="S8" s="47">
        <f t="shared" ref="S8:S15" si="7">SUM(P8:R8)</f>
        <v>0</v>
      </c>
      <c r="T8" s="46"/>
      <c r="U8" s="46"/>
      <c r="V8" s="46"/>
      <c r="W8" s="47">
        <f t="shared" ref="W8:W15" si="8">SUM(T8:V8)</f>
        <v>0</v>
      </c>
      <c r="X8" s="75"/>
      <c r="Y8" s="74">
        <f t="shared" ref="Y8:Y15" si="9">SUM(K8,O8,S8,W8)</f>
        <v>0</v>
      </c>
    </row>
    <row r="9" spans="1:25" ht="12">
      <c r="A9" s="40"/>
      <c r="B9" s="40" t="s">
        <v>4</v>
      </c>
      <c r="C9" s="39"/>
      <c r="D9" s="46">
        <v>1920000</v>
      </c>
      <c r="E9" s="47"/>
      <c r="F9" s="47"/>
      <c r="G9" s="47"/>
      <c r="H9" s="46">
        <f>1990656/12</f>
        <v>165888</v>
      </c>
      <c r="I9" s="46">
        <f t="shared" ref="I9:J9" si="10">1990656/12</f>
        <v>165888</v>
      </c>
      <c r="J9" s="46">
        <f t="shared" si="10"/>
        <v>165888</v>
      </c>
      <c r="K9" s="47">
        <f t="shared" si="5"/>
        <v>497664</v>
      </c>
      <c r="L9" s="46">
        <f t="shared" ref="L9:N9" si="11">1990656/12</f>
        <v>165888</v>
      </c>
      <c r="M9" s="46">
        <f t="shared" si="11"/>
        <v>165888</v>
      </c>
      <c r="N9" s="46">
        <f t="shared" si="11"/>
        <v>165888</v>
      </c>
      <c r="O9" s="47">
        <f t="shared" si="6"/>
        <v>497664</v>
      </c>
      <c r="P9" s="46">
        <f t="shared" ref="P9:R9" si="12">1990656/12</f>
        <v>165888</v>
      </c>
      <c r="Q9" s="46">
        <f t="shared" si="12"/>
        <v>165888</v>
      </c>
      <c r="R9" s="46">
        <f t="shared" si="12"/>
        <v>165888</v>
      </c>
      <c r="S9" s="47">
        <f t="shared" si="7"/>
        <v>497664</v>
      </c>
      <c r="T9" s="46">
        <f t="shared" ref="T9:V9" si="13">1990656/12</f>
        <v>165888</v>
      </c>
      <c r="U9" s="46">
        <f t="shared" si="13"/>
        <v>165888</v>
      </c>
      <c r="V9" s="46">
        <f t="shared" si="13"/>
        <v>165888</v>
      </c>
      <c r="W9" s="47">
        <f t="shared" si="8"/>
        <v>497664</v>
      </c>
      <c r="X9" s="75"/>
      <c r="Y9" s="74">
        <f t="shared" si="9"/>
        <v>1990656</v>
      </c>
    </row>
    <row r="10" spans="1:25" ht="12">
      <c r="A10" s="40"/>
      <c r="B10" s="40" t="s">
        <v>5</v>
      </c>
      <c r="C10" s="39"/>
      <c r="D10" s="46"/>
      <c r="E10" s="47"/>
      <c r="F10" s="47"/>
      <c r="G10" s="47"/>
      <c r="H10" s="46"/>
      <c r="I10" s="46"/>
      <c r="J10" s="46"/>
      <c r="K10" s="47">
        <f t="shared" si="5"/>
        <v>0</v>
      </c>
      <c r="L10" s="46"/>
      <c r="M10" s="46"/>
      <c r="N10" s="46"/>
      <c r="O10" s="47">
        <f t="shared" si="6"/>
        <v>0</v>
      </c>
      <c r="P10" s="46"/>
      <c r="Q10" s="46"/>
      <c r="R10" s="46"/>
      <c r="S10" s="47">
        <f t="shared" si="7"/>
        <v>0</v>
      </c>
      <c r="T10" s="46"/>
      <c r="U10" s="46"/>
      <c r="V10" s="46"/>
      <c r="W10" s="47">
        <f t="shared" si="8"/>
        <v>0</v>
      </c>
      <c r="X10" s="75"/>
      <c r="Y10" s="74">
        <f t="shared" si="9"/>
        <v>0</v>
      </c>
    </row>
    <row r="11" spans="1:25" ht="12">
      <c r="A11" s="40"/>
      <c r="B11" s="40" t="s">
        <v>6</v>
      </c>
      <c r="C11" s="39"/>
      <c r="D11" s="46">
        <f>214890+962383+77616</f>
        <v>1254889</v>
      </c>
      <c r="E11" s="47"/>
      <c r="F11" s="47"/>
      <c r="G11" s="47"/>
      <c r="H11" s="46">
        <f>1137277/12</f>
        <v>94773.083333333328</v>
      </c>
      <c r="I11" s="46">
        <f t="shared" ref="I11:J11" si="14">1137277/12</f>
        <v>94773.083333333328</v>
      </c>
      <c r="J11" s="46">
        <f t="shared" si="14"/>
        <v>94773.083333333328</v>
      </c>
      <c r="K11" s="47">
        <f t="shared" si="5"/>
        <v>284319.25</v>
      </c>
      <c r="L11" s="46">
        <f t="shared" ref="L11:N11" si="15">1137277/12</f>
        <v>94773.083333333328</v>
      </c>
      <c r="M11" s="46">
        <f t="shared" si="15"/>
        <v>94773.083333333328</v>
      </c>
      <c r="N11" s="46">
        <f t="shared" si="15"/>
        <v>94773.083333333328</v>
      </c>
      <c r="O11" s="47">
        <f t="shared" si="6"/>
        <v>284319.25</v>
      </c>
      <c r="P11" s="46">
        <f t="shared" ref="P11:R11" si="16">1137277/12</f>
        <v>94773.083333333328</v>
      </c>
      <c r="Q11" s="46">
        <f t="shared" si="16"/>
        <v>94773.083333333328</v>
      </c>
      <c r="R11" s="46">
        <f t="shared" si="16"/>
        <v>94773.083333333328</v>
      </c>
      <c r="S11" s="47">
        <f t="shared" si="7"/>
        <v>284319.25</v>
      </c>
      <c r="T11" s="46">
        <f t="shared" ref="T11:V11" si="17">1137277/12</f>
        <v>94773.083333333328</v>
      </c>
      <c r="U11" s="46">
        <f t="shared" si="17"/>
        <v>94773.083333333328</v>
      </c>
      <c r="V11" s="46">
        <f t="shared" si="17"/>
        <v>94773.083333333328</v>
      </c>
      <c r="W11" s="47">
        <f t="shared" si="8"/>
        <v>284319.25</v>
      </c>
      <c r="X11" s="75"/>
      <c r="Y11" s="74">
        <f t="shared" si="9"/>
        <v>1137277</v>
      </c>
    </row>
    <row r="12" spans="1:25" ht="12">
      <c r="A12" s="40"/>
      <c r="B12" s="40" t="s">
        <v>7</v>
      </c>
      <c r="C12" s="39"/>
      <c r="D12" s="46">
        <v>40000</v>
      </c>
      <c r="E12" s="47"/>
      <c r="F12" s="47"/>
      <c r="G12" s="47"/>
      <c r="H12" s="46"/>
      <c r="I12" s="46"/>
      <c r="J12" s="46"/>
      <c r="K12" s="47">
        <f t="shared" si="5"/>
        <v>0</v>
      </c>
      <c r="L12" s="46"/>
      <c r="M12" s="46"/>
      <c r="N12" s="46"/>
      <c r="O12" s="47">
        <f t="shared" si="6"/>
        <v>0</v>
      </c>
      <c r="P12" s="46"/>
      <c r="Q12" s="46"/>
      <c r="R12" s="46"/>
      <c r="S12" s="47">
        <f t="shared" si="7"/>
        <v>0</v>
      </c>
      <c r="T12" s="46"/>
      <c r="U12" s="46"/>
      <c r="V12" s="46"/>
      <c r="W12" s="47">
        <f t="shared" si="8"/>
        <v>0</v>
      </c>
      <c r="X12" s="75"/>
      <c r="Y12" s="74">
        <f t="shared" si="9"/>
        <v>0</v>
      </c>
    </row>
    <row r="13" spans="1:25" ht="12">
      <c r="A13" s="40"/>
      <c r="B13" s="40" t="s">
        <v>8</v>
      </c>
      <c r="C13" s="39"/>
      <c r="D13" s="46"/>
      <c r="E13" s="47"/>
      <c r="F13" s="47"/>
      <c r="G13" s="47"/>
      <c r="H13" s="46"/>
      <c r="I13" s="46"/>
      <c r="J13" s="46"/>
      <c r="K13" s="47">
        <f t="shared" si="5"/>
        <v>0</v>
      </c>
      <c r="L13" s="46"/>
      <c r="M13" s="46"/>
      <c r="N13" s="46"/>
      <c r="O13" s="47">
        <f t="shared" si="6"/>
        <v>0</v>
      </c>
      <c r="P13" s="46"/>
      <c r="Q13" s="46"/>
      <c r="R13" s="46"/>
      <c r="S13" s="47">
        <f t="shared" si="7"/>
        <v>0</v>
      </c>
      <c r="T13" s="46"/>
      <c r="U13" s="46"/>
      <c r="V13" s="46"/>
      <c r="W13" s="47">
        <f t="shared" si="8"/>
        <v>0</v>
      </c>
      <c r="X13" s="75"/>
      <c r="Y13" s="74">
        <f t="shared" si="9"/>
        <v>0</v>
      </c>
    </row>
    <row r="14" spans="1:25" ht="12">
      <c r="A14" s="40"/>
      <c r="B14" s="40" t="s">
        <v>9</v>
      </c>
      <c r="C14" s="39"/>
      <c r="D14" s="46">
        <v>2051</v>
      </c>
      <c r="E14" s="47"/>
      <c r="F14" s="47"/>
      <c r="G14" s="47"/>
      <c r="H14" s="46"/>
      <c r="I14" s="46"/>
      <c r="J14" s="46"/>
      <c r="K14" s="47">
        <f t="shared" si="5"/>
        <v>0</v>
      </c>
      <c r="L14" s="46"/>
      <c r="M14" s="46"/>
      <c r="N14" s="46"/>
      <c r="O14" s="47">
        <f t="shared" si="6"/>
        <v>0</v>
      </c>
      <c r="P14" s="46"/>
      <c r="Q14" s="46"/>
      <c r="R14" s="46"/>
      <c r="S14" s="47">
        <f t="shared" si="7"/>
        <v>0</v>
      </c>
      <c r="T14" s="46"/>
      <c r="U14" s="46"/>
      <c r="V14" s="46"/>
      <c r="W14" s="47">
        <f t="shared" si="8"/>
        <v>0</v>
      </c>
      <c r="X14" s="75"/>
      <c r="Y14" s="78">
        <f t="shared" si="9"/>
        <v>0</v>
      </c>
    </row>
    <row r="15" spans="1:25" ht="12">
      <c r="A15" s="40"/>
      <c r="B15" s="48" t="s">
        <v>10</v>
      </c>
      <c r="C15" s="39"/>
      <c r="D15" s="68">
        <f>SUM(D7:D14)</f>
        <v>10925774</v>
      </c>
      <c r="E15" s="71"/>
      <c r="F15" s="71"/>
      <c r="G15" s="71"/>
      <c r="H15" s="79">
        <f>SUM(H7:H14)</f>
        <v>991189.75</v>
      </c>
      <c r="I15" s="79">
        <f t="shared" ref="I15:J15" si="18">SUM(I7:I14)</f>
        <v>991189.75</v>
      </c>
      <c r="J15" s="79">
        <f t="shared" si="18"/>
        <v>991189.75</v>
      </c>
      <c r="K15" s="79">
        <f t="shared" si="5"/>
        <v>2973569.25</v>
      </c>
      <c r="L15" s="79">
        <f>SUM(L7:L14)</f>
        <v>991189.75</v>
      </c>
      <c r="M15" s="79">
        <f t="shared" ref="M15:N15" si="19">SUM(M7:M14)</f>
        <v>991189.75</v>
      </c>
      <c r="N15" s="79">
        <f t="shared" si="19"/>
        <v>991189.75</v>
      </c>
      <c r="O15" s="79">
        <f t="shared" si="6"/>
        <v>2973569.25</v>
      </c>
      <c r="P15" s="79">
        <f>SUM(P7:P14)</f>
        <v>991189.75</v>
      </c>
      <c r="Q15" s="79">
        <f t="shared" ref="Q15:R15" si="20">SUM(Q7:Q14)</f>
        <v>991189.75</v>
      </c>
      <c r="R15" s="79">
        <f t="shared" si="20"/>
        <v>991189.75</v>
      </c>
      <c r="S15" s="79">
        <f t="shared" si="7"/>
        <v>2973569.25</v>
      </c>
      <c r="T15" s="79">
        <f>SUM(T7:T14)</f>
        <v>991189.75</v>
      </c>
      <c r="U15" s="79">
        <f t="shared" ref="U15:V15" si="21">SUM(U7:U14)</f>
        <v>991189.75</v>
      </c>
      <c r="V15" s="79">
        <f t="shared" si="21"/>
        <v>991189.75</v>
      </c>
      <c r="W15" s="79">
        <f t="shared" si="8"/>
        <v>2973569.25</v>
      </c>
      <c r="X15" s="75"/>
      <c r="Y15" s="74">
        <f t="shared" si="9"/>
        <v>11894277</v>
      </c>
    </row>
    <row r="16" spans="1:25" ht="12">
      <c r="A16" s="40"/>
      <c r="B16" s="51"/>
      <c r="C16" s="39"/>
      <c r="D16" s="52"/>
      <c r="E16" s="53"/>
      <c r="F16" s="53"/>
      <c r="G16" s="53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75"/>
    </row>
    <row r="17" spans="1:25" ht="12">
      <c r="A17" s="54" t="s">
        <v>11</v>
      </c>
      <c r="B17" s="1"/>
      <c r="C17" s="39"/>
      <c r="D17" s="55"/>
      <c r="E17" s="55"/>
      <c r="F17" s="55"/>
      <c r="G17" s="55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75"/>
    </row>
    <row r="18" spans="1:25" ht="12">
      <c r="A18" s="56" t="s">
        <v>12</v>
      </c>
      <c r="B18" s="1"/>
      <c r="C18" s="39"/>
      <c r="D18" s="1"/>
      <c r="F18" s="1" t="s">
        <v>113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75"/>
    </row>
    <row r="19" spans="1:25" ht="12">
      <c r="A19" s="40"/>
      <c r="B19" s="1" t="s">
        <v>13</v>
      </c>
      <c r="C19" s="39"/>
      <c r="D19" s="57">
        <v>306000</v>
      </c>
      <c r="E19" s="58"/>
      <c r="F19" s="57">
        <v>3</v>
      </c>
      <c r="G19" s="58"/>
      <c r="H19" s="57">
        <f>337792/12</f>
        <v>28149.333333333332</v>
      </c>
      <c r="I19" s="57">
        <f t="shared" ref="I19:J19" si="22">337792/12</f>
        <v>28149.333333333332</v>
      </c>
      <c r="J19" s="57">
        <f t="shared" si="22"/>
        <v>28149.333333333332</v>
      </c>
      <c r="K19" s="59">
        <f t="shared" ref="K19:K33" si="23">SUM(H19:J19)</f>
        <v>84448</v>
      </c>
      <c r="L19" s="57">
        <f t="shared" ref="L19:N19" si="24">337792/12</f>
        <v>28149.333333333332</v>
      </c>
      <c r="M19" s="57">
        <f t="shared" si="24"/>
        <v>28149.333333333332</v>
      </c>
      <c r="N19" s="57">
        <f t="shared" si="24"/>
        <v>28149.333333333332</v>
      </c>
      <c r="O19" s="59">
        <f t="shared" ref="O19:O33" si="25">SUM(L19:N19)</f>
        <v>84448</v>
      </c>
      <c r="P19" s="57">
        <f t="shared" ref="P19:R19" si="26">337792/12</f>
        <v>28149.333333333332</v>
      </c>
      <c r="Q19" s="57">
        <f t="shared" si="26"/>
        <v>28149.333333333332</v>
      </c>
      <c r="R19" s="57">
        <f t="shared" si="26"/>
        <v>28149.333333333332</v>
      </c>
      <c r="S19" s="59">
        <f t="shared" ref="S19:S33" si="27">SUM(P19:R19)</f>
        <v>84448</v>
      </c>
      <c r="T19" s="57">
        <f t="shared" ref="T19:V19" si="28">337792/12</f>
        <v>28149.333333333332</v>
      </c>
      <c r="U19" s="57">
        <f t="shared" si="28"/>
        <v>28149.333333333332</v>
      </c>
      <c r="V19" s="57">
        <f t="shared" si="28"/>
        <v>28149.333333333332</v>
      </c>
      <c r="W19" s="59">
        <f t="shared" ref="W19:W33" si="29">SUM(T19:V19)</f>
        <v>84448</v>
      </c>
      <c r="X19" s="75"/>
      <c r="Y19" s="74">
        <f t="shared" ref="Y19:Y33" si="30">SUM(K19,O19,S19,W19)</f>
        <v>337792</v>
      </c>
    </row>
    <row r="20" spans="1:25" ht="12">
      <c r="A20" s="40"/>
      <c r="B20" s="1" t="s">
        <v>14</v>
      </c>
      <c r="C20" s="39"/>
      <c r="D20" s="57">
        <v>2194500</v>
      </c>
      <c r="E20" s="58"/>
      <c r="F20" s="57">
        <v>40</v>
      </c>
      <c r="G20" s="58"/>
      <c r="H20" s="57">
        <f>2573580/12</f>
        <v>214465</v>
      </c>
      <c r="I20" s="57">
        <f t="shared" ref="I20:J20" si="31">2573580/12</f>
        <v>214465</v>
      </c>
      <c r="J20" s="57">
        <f t="shared" si="31"/>
        <v>214465</v>
      </c>
      <c r="K20" s="59">
        <f t="shared" si="23"/>
        <v>643395</v>
      </c>
      <c r="L20" s="57">
        <f t="shared" ref="L20:N20" si="32">2573580/12</f>
        <v>214465</v>
      </c>
      <c r="M20" s="57">
        <f t="shared" si="32"/>
        <v>214465</v>
      </c>
      <c r="N20" s="57">
        <f t="shared" si="32"/>
        <v>214465</v>
      </c>
      <c r="O20" s="59">
        <f t="shared" si="25"/>
        <v>643395</v>
      </c>
      <c r="P20" s="57">
        <f t="shared" ref="P20:R20" si="33">2573580/12</f>
        <v>214465</v>
      </c>
      <c r="Q20" s="57">
        <f t="shared" si="33"/>
        <v>214465</v>
      </c>
      <c r="R20" s="57">
        <f t="shared" si="33"/>
        <v>214465</v>
      </c>
      <c r="S20" s="59">
        <f t="shared" si="27"/>
        <v>643395</v>
      </c>
      <c r="T20" s="57">
        <f t="shared" ref="T20:V20" si="34">2573580/12</f>
        <v>214465</v>
      </c>
      <c r="U20" s="57">
        <f t="shared" si="34"/>
        <v>214465</v>
      </c>
      <c r="V20" s="57">
        <f t="shared" si="34"/>
        <v>214465</v>
      </c>
      <c r="W20" s="59">
        <f t="shared" si="29"/>
        <v>643395</v>
      </c>
      <c r="X20" s="75"/>
      <c r="Y20" s="74">
        <f t="shared" si="30"/>
        <v>2573580</v>
      </c>
    </row>
    <row r="21" spans="1:25" ht="12">
      <c r="A21" s="40"/>
      <c r="B21" s="1" t="s">
        <v>15</v>
      </c>
      <c r="C21" s="39"/>
      <c r="D21" s="57">
        <v>395500</v>
      </c>
      <c r="E21" s="58"/>
      <c r="F21" s="57">
        <v>8</v>
      </c>
      <c r="G21" s="58"/>
      <c r="H21" s="57">
        <f>530444/12</f>
        <v>44203.666666666664</v>
      </c>
      <c r="I21" s="57">
        <f t="shared" ref="I21:J21" si="35">530444/12</f>
        <v>44203.666666666664</v>
      </c>
      <c r="J21" s="57">
        <f t="shared" si="35"/>
        <v>44203.666666666664</v>
      </c>
      <c r="K21" s="59">
        <f t="shared" si="23"/>
        <v>132611</v>
      </c>
      <c r="L21" s="57">
        <f t="shared" ref="L21:N21" si="36">530444/12</f>
        <v>44203.666666666664</v>
      </c>
      <c r="M21" s="57">
        <f t="shared" si="36"/>
        <v>44203.666666666664</v>
      </c>
      <c r="N21" s="57">
        <f t="shared" si="36"/>
        <v>44203.666666666664</v>
      </c>
      <c r="O21" s="59">
        <f t="shared" si="25"/>
        <v>132611</v>
      </c>
      <c r="P21" s="57">
        <f t="shared" ref="P21:R21" si="37">530444/12</f>
        <v>44203.666666666664</v>
      </c>
      <c r="Q21" s="57">
        <f t="shared" si="37"/>
        <v>44203.666666666664</v>
      </c>
      <c r="R21" s="57">
        <f t="shared" si="37"/>
        <v>44203.666666666664</v>
      </c>
      <c r="S21" s="59">
        <f t="shared" si="27"/>
        <v>132611</v>
      </c>
      <c r="T21" s="57">
        <f t="shared" ref="T21:V21" si="38">530444/12</f>
        <v>44203.666666666664</v>
      </c>
      <c r="U21" s="57">
        <f t="shared" si="38"/>
        <v>44203.666666666664</v>
      </c>
      <c r="V21" s="57">
        <f t="shared" si="38"/>
        <v>44203.666666666664</v>
      </c>
      <c r="W21" s="59">
        <f t="shared" si="29"/>
        <v>132611</v>
      </c>
      <c r="X21" s="75"/>
      <c r="Y21" s="74">
        <f t="shared" si="30"/>
        <v>530444</v>
      </c>
    </row>
    <row r="22" spans="1:25" ht="12">
      <c r="A22" s="40"/>
      <c r="B22" s="1" t="s">
        <v>16</v>
      </c>
      <c r="C22" s="39"/>
      <c r="D22" s="57">
        <v>0</v>
      </c>
      <c r="E22" s="58"/>
      <c r="F22" s="57">
        <v>0</v>
      </c>
      <c r="G22" s="58"/>
      <c r="H22" s="57"/>
      <c r="I22" s="57"/>
      <c r="J22" s="57"/>
      <c r="K22" s="59">
        <f t="shared" si="23"/>
        <v>0</v>
      </c>
      <c r="L22" s="57"/>
      <c r="M22" s="57"/>
      <c r="N22" s="57"/>
      <c r="O22" s="59">
        <f t="shared" si="25"/>
        <v>0</v>
      </c>
      <c r="P22" s="57"/>
      <c r="Q22" s="57"/>
      <c r="R22" s="57"/>
      <c r="S22" s="59">
        <f t="shared" si="27"/>
        <v>0</v>
      </c>
      <c r="T22" s="57"/>
      <c r="U22" s="57"/>
      <c r="V22" s="57"/>
      <c r="W22" s="59">
        <f t="shared" si="29"/>
        <v>0</v>
      </c>
      <c r="X22" s="75"/>
      <c r="Y22" s="74">
        <f t="shared" si="30"/>
        <v>0</v>
      </c>
    </row>
    <row r="23" spans="1:25" ht="12">
      <c r="A23" s="40"/>
      <c r="B23" s="1" t="s">
        <v>17</v>
      </c>
      <c r="C23" s="39"/>
      <c r="D23" s="57"/>
      <c r="E23" s="58"/>
      <c r="F23" s="57"/>
      <c r="G23" s="58"/>
      <c r="H23" s="57"/>
      <c r="I23" s="57"/>
      <c r="J23" s="57"/>
      <c r="K23" s="59">
        <f t="shared" si="23"/>
        <v>0</v>
      </c>
      <c r="L23" s="57"/>
      <c r="M23" s="57"/>
      <c r="N23" s="57"/>
      <c r="O23" s="59">
        <f t="shared" si="25"/>
        <v>0</v>
      </c>
      <c r="P23" s="57"/>
      <c r="Q23" s="57"/>
      <c r="R23" s="57"/>
      <c r="S23" s="59">
        <f t="shared" si="27"/>
        <v>0</v>
      </c>
      <c r="T23" s="57"/>
      <c r="U23" s="57"/>
      <c r="V23" s="57"/>
      <c r="W23" s="59">
        <f t="shared" si="29"/>
        <v>0</v>
      </c>
      <c r="X23" s="75"/>
      <c r="Y23" s="74">
        <f t="shared" si="30"/>
        <v>0</v>
      </c>
    </row>
    <row r="24" spans="1:25" ht="12">
      <c r="A24" s="40"/>
      <c r="B24" s="1" t="s">
        <v>18</v>
      </c>
      <c r="C24" s="39"/>
      <c r="D24" s="57"/>
      <c r="E24" s="58"/>
      <c r="F24" s="57"/>
      <c r="G24" s="58"/>
      <c r="H24" s="57"/>
      <c r="I24" s="57"/>
      <c r="J24" s="57"/>
      <c r="K24" s="59">
        <f t="shared" si="23"/>
        <v>0</v>
      </c>
      <c r="L24" s="57"/>
      <c r="M24" s="57"/>
      <c r="N24" s="57"/>
      <c r="O24" s="59">
        <f t="shared" si="25"/>
        <v>0</v>
      </c>
      <c r="P24" s="57"/>
      <c r="Q24" s="57"/>
      <c r="R24" s="57"/>
      <c r="S24" s="59">
        <f t="shared" si="27"/>
        <v>0</v>
      </c>
      <c r="T24" s="57"/>
      <c r="U24" s="57"/>
      <c r="V24" s="57"/>
      <c r="W24" s="59">
        <f t="shared" si="29"/>
        <v>0</v>
      </c>
      <c r="X24" s="75"/>
      <c r="Y24" s="74">
        <f t="shared" si="30"/>
        <v>0</v>
      </c>
    </row>
    <row r="25" spans="1:25" ht="12">
      <c r="A25" s="40"/>
      <c r="B25" s="1" t="s">
        <v>19</v>
      </c>
      <c r="C25" s="39"/>
      <c r="D25" s="57"/>
      <c r="E25" s="58"/>
      <c r="F25" s="57">
        <v>7</v>
      </c>
      <c r="G25" s="58"/>
      <c r="H25" s="57">
        <f>409864/12</f>
        <v>34155.333333333336</v>
      </c>
      <c r="I25" s="57">
        <f t="shared" ref="I25:J25" si="39">409864/12</f>
        <v>34155.333333333336</v>
      </c>
      <c r="J25" s="57">
        <f t="shared" si="39"/>
        <v>34155.333333333336</v>
      </c>
      <c r="K25" s="59">
        <f t="shared" si="23"/>
        <v>102466</v>
      </c>
      <c r="L25" s="57">
        <f t="shared" ref="L25:N25" si="40">409864/12</f>
        <v>34155.333333333336</v>
      </c>
      <c r="M25" s="57">
        <f t="shared" si="40"/>
        <v>34155.333333333336</v>
      </c>
      <c r="N25" s="57">
        <f t="shared" si="40"/>
        <v>34155.333333333336</v>
      </c>
      <c r="O25" s="59">
        <f t="shared" si="25"/>
        <v>102466</v>
      </c>
      <c r="P25" s="57">
        <f t="shared" ref="P25:R25" si="41">409864/12</f>
        <v>34155.333333333336</v>
      </c>
      <c r="Q25" s="57">
        <f t="shared" si="41"/>
        <v>34155.333333333336</v>
      </c>
      <c r="R25" s="57">
        <f t="shared" si="41"/>
        <v>34155.333333333336</v>
      </c>
      <c r="S25" s="59">
        <f t="shared" si="27"/>
        <v>102466</v>
      </c>
      <c r="T25" s="57">
        <f t="shared" ref="T25:V25" si="42">409864/12</f>
        <v>34155.333333333336</v>
      </c>
      <c r="U25" s="57">
        <f t="shared" si="42"/>
        <v>34155.333333333336</v>
      </c>
      <c r="V25" s="57">
        <f t="shared" si="42"/>
        <v>34155.333333333336</v>
      </c>
      <c r="W25" s="59">
        <f t="shared" si="29"/>
        <v>102466</v>
      </c>
      <c r="X25" s="75"/>
      <c r="Y25" s="74">
        <f t="shared" si="30"/>
        <v>409864</v>
      </c>
    </row>
    <row r="26" spans="1:25" ht="12">
      <c r="A26" s="40"/>
      <c r="B26" s="1" t="s">
        <v>20</v>
      </c>
      <c r="C26" s="39"/>
      <c r="D26" s="57">
        <v>277000</v>
      </c>
      <c r="E26" s="58"/>
      <c r="F26" s="57">
        <v>5</v>
      </c>
      <c r="G26" s="58"/>
      <c r="H26" s="57">
        <f>327933/12</f>
        <v>27327.75</v>
      </c>
      <c r="I26" s="57">
        <f t="shared" ref="I26:J26" si="43">327933/12</f>
        <v>27327.75</v>
      </c>
      <c r="J26" s="57">
        <f t="shared" si="43"/>
        <v>27327.75</v>
      </c>
      <c r="K26" s="59">
        <f t="shared" si="23"/>
        <v>81983.25</v>
      </c>
      <c r="L26" s="57">
        <f t="shared" ref="L26:N26" si="44">327933/12</f>
        <v>27327.75</v>
      </c>
      <c r="M26" s="57">
        <f t="shared" si="44"/>
        <v>27327.75</v>
      </c>
      <c r="N26" s="57">
        <f t="shared" si="44"/>
        <v>27327.75</v>
      </c>
      <c r="O26" s="59">
        <f t="shared" si="25"/>
        <v>81983.25</v>
      </c>
      <c r="P26" s="57">
        <f t="shared" ref="P26:R26" si="45">327933/12</f>
        <v>27327.75</v>
      </c>
      <c r="Q26" s="57">
        <f t="shared" si="45"/>
        <v>27327.75</v>
      </c>
      <c r="R26" s="57">
        <f t="shared" si="45"/>
        <v>27327.75</v>
      </c>
      <c r="S26" s="59">
        <f t="shared" si="27"/>
        <v>81983.25</v>
      </c>
      <c r="T26" s="57">
        <f t="shared" ref="T26:V26" si="46">327933/12</f>
        <v>27327.75</v>
      </c>
      <c r="U26" s="57">
        <f t="shared" si="46"/>
        <v>27327.75</v>
      </c>
      <c r="V26" s="57">
        <f t="shared" si="46"/>
        <v>27327.75</v>
      </c>
      <c r="W26" s="59">
        <f t="shared" si="29"/>
        <v>81983.25</v>
      </c>
      <c r="X26" s="75"/>
      <c r="Y26" s="74">
        <f t="shared" si="30"/>
        <v>327933</v>
      </c>
    </row>
    <row r="27" spans="1:25" ht="12">
      <c r="A27" s="40"/>
      <c r="B27" s="1" t="s">
        <v>21</v>
      </c>
      <c r="C27" s="39"/>
      <c r="D27" s="57">
        <v>215000</v>
      </c>
      <c r="E27" s="58"/>
      <c r="F27" s="57"/>
      <c r="G27" s="58"/>
      <c r="H27" s="57"/>
      <c r="I27" s="57"/>
      <c r="J27" s="57"/>
      <c r="K27" s="59">
        <f t="shared" si="23"/>
        <v>0</v>
      </c>
      <c r="L27" s="57"/>
      <c r="M27" s="57"/>
      <c r="N27" s="57"/>
      <c r="O27" s="59">
        <f t="shared" si="25"/>
        <v>0</v>
      </c>
      <c r="P27" s="57"/>
      <c r="Q27" s="57"/>
      <c r="R27" s="57"/>
      <c r="S27" s="59">
        <f t="shared" si="27"/>
        <v>0</v>
      </c>
      <c r="T27" s="57"/>
      <c r="U27" s="57"/>
      <c r="V27" s="57"/>
      <c r="W27" s="59">
        <f t="shared" si="29"/>
        <v>0</v>
      </c>
      <c r="X27" s="75"/>
      <c r="Y27" s="74">
        <f t="shared" si="30"/>
        <v>0</v>
      </c>
    </row>
    <row r="28" spans="1:25" ht="12">
      <c r="A28" s="40"/>
      <c r="B28" s="1" t="s">
        <v>22</v>
      </c>
      <c r="C28" s="39"/>
      <c r="D28" s="57">
        <v>35000</v>
      </c>
      <c r="E28" s="58"/>
      <c r="F28" s="57">
        <v>1</v>
      </c>
      <c r="G28" s="58"/>
      <c r="H28" s="57">
        <f>39520/12</f>
        <v>3293.3333333333335</v>
      </c>
      <c r="I28" s="57">
        <f t="shared" ref="I28:J28" si="47">39520/12</f>
        <v>3293.3333333333335</v>
      </c>
      <c r="J28" s="57">
        <f t="shared" si="47"/>
        <v>3293.3333333333335</v>
      </c>
      <c r="K28" s="59">
        <f t="shared" si="23"/>
        <v>9880</v>
      </c>
      <c r="L28" s="57">
        <f t="shared" ref="L28:N28" si="48">39520/12</f>
        <v>3293.3333333333335</v>
      </c>
      <c r="M28" s="57">
        <f t="shared" si="48"/>
        <v>3293.3333333333335</v>
      </c>
      <c r="N28" s="57">
        <f t="shared" si="48"/>
        <v>3293.3333333333335</v>
      </c>
      <c r="O28" s="59">
        <f t="shared" si="25"/>
        <v>9880</v>
      </c>
      <c r="P28" s="57">
        <f t="shared" ref="P28:R28" si="49">39520/12</f>
        <v>3293.3333333333335</v>
      </c>
      <c r="Q28" s="57">
        <f t="shared" si="49"/>
        <v>3293.3333333333335</v>
      </c>
      <c r="R28" s="57">
        <f t="shared" si="49"/>
        <v>3293.3333333333335</v>
      </c>
      <c r="S28" s="59">
        <f t="shared" si="27"/>
        <v>9880</v>
      </c>
      <c r="T28" s="57">
        <f t="shared" ref="T28:V28" si="50">39520/12</f>
        <v>3293.3333333333335</v>
      </c>
      <c r="U28" s="57">
        <f t="shared" si="50"/>
        <v>3293.3333333333335</v>
      </c>
      <c r="V28" s="57">
        <f t="shared" si="50"/>
        <v>3293.3333333333335</v>
      </c>
      <c r="W28" s="59">
        <f t="shared" si="29"/>
        <v>9880</v>
      </c>
      <c r="X28" s="75"/>
      <c r="Y28" s="74">
        <f t="shared" si="30"/>
        <v>39520</v>
      </c>
    </row>
    <row r="29" spans="1:25" ht="12">
      <c r="A29" s="40"/>
      <c r="B29" s="1" t="s">
        <v>23</v>
      </c>
      <c r="C29" s="39"/>
      <c r="D29" s="57"/>
      <c r="E29" s="58"/>
      <c r="F29" s="57"/>
      <c r="G29" s="58"/>
      <c r="H29" s="57"/>
      <c r="I29" s="57"/>
      <c r="J29" s="57"/>
      <c r="K29" s="59">
        <f t="shared" si="23"/>
        <v>0</v>
      </c>
      <c r="L29" s="57"/>
      <c r="M29" s="57"/>
      <c r="N29" s="57"/>
      <c r="O29" s="59">
        <f t="shared" si="25"/>
        <v>0</v>
      </c>
      <c r="P29" s="57"/>
      <c r="Q29" s="57"/>
      <c r="R29" s="57"/>
      <c r="S29" s="59">
        <f t="shared" si="27"/>
        <v>0</v>
      </c>
      <c r="T29" s="57"/>
      <c r="U29" s="57"/>
      <c r="V29" s="57"/>
      <c r="W29" s="59">
        <f t="shared" si="29"/>
        <v>0</v>
      </c>
      <c r="X29" s="75"/>
      <c r="Y29" s="74">
        <f t="shared" si="30"/>
        <v>0</v>
      </c>
    </row>
    <row r="30" spans="1:25" ht="12">
      <c r="A30" s="40"/>
      <c r="B30" s="1" t="s">
        <v>24</v>
      </c>
      <c r="C30" s="39"/>
      <c r="D30" s="57">
        <v>1114544</v>
      </c>
      <c r="E30" s="58"/>
      <c r="F30" s="57"/>
      <c r="G30" s="58"/>
      <c r="H30" s="57">
        <f>(218200+865075)/12</f>
        <v>90272.916666666672</v>
      </c>
      <c r="I30" s="57">
        <f t="shared" ref="I30:J30" si="51">(218200+865075)/12</f>
        <v>90272.916666666672</v>
      </c>
      <c r="J30" s="57">
        <f t="shared" si="51"/>
        <v>90272.916666666672</v>
      </c>
      <c r="K30" s="59">
        <f t="shared" si="23"/>
        <v>270818.75</v>
      </c>
      <c r="L30" s="57">
        <f t="shared" ref="L30:N30" si="52">(218200+865075)/12</f>
        <v>90272.916666666672</v>
      </c>
      <c r="M30" s="57">
        <f t="shared" si="52"/>
        <v>90272.916666666672</v>
      </c>
      <c r="N30" s="57">
        <f t="shared" si="52"/>
        <v>90272.916666666672</v>
      </c>
      <c r="O30" s="59">
        <f t="shared" si="25"/>
        <v>270818.75</v>
      </c>
      <c r="P30" s="57">
        <f t="shared" ref="P30:R30" si="53">(218200+865075)/12</f>
        <v>90272.916666666672</v>
      </c>
      <c r="Q30" s="57">
        <f t="shared" si="53"/>
        <v>90272.916666666672</v>
      </c>
      <c r="R30" s="57">
        <f t="shared" si="53"/>
        <v>90272.916666666672</v>
      </c>
      <c r="S30" s="59">
        <f t="shared" si="27"/>
        <v>270818.75</v>
      </c>
      <c r="T30" s="57">
        <f t="shared" ref="T30:V30" si="54">(218200+865075)/12</f>
        <v>90272.916666666672</v>
      </c>
      <c r="U30" s="57">
        <f t="shared" si="54"/>
        <v>90272.916666666672</v>
      </c>
      <c r="V30" s="57">
        <f t="shared" si="54"/>
        <v>90272.916666666672</v>
      </c>
      <c r="W30" s="59">
        <f t="shared" si="29"/>
        <v>270818.75</v>
      </c>
      <c r="X30" s="75"/>
      <c r="Y30" s="74">
        <f t="shared" si="30"/>
        <v>1083275</v>
      </c>
    </row>
    <row r="31" spans="1:25" ht="12">
      <c r="A31" s="40"/>
      <c r="B31" s="1" t="s">
        <v>25</v>
      </c>
      <c r="C31" s="39"/>
      <c r="D31" s="57">
        <v>1500</v>
      </c>
      <c r="E31" s="58"/>
      <c r="F31" s="57"/>
      <c r="G31" s="58"/>
      <c r="H31" s="57"/>
      <c r="I31" s="57"/>
      <c r="J31" s="57"/>
      <c r="K31" s="59">
        <f t="shared" si="23"/>
        <v>0</v>
      </c>
      <c r="L31" s="57"/>
      <c r="M31" s="57"/>
      <c r="N31" s="57"/>
      <c r="O31" s="59">
        <f t="shared" si="25"/>
        <v>0</v>
      </c>
      <c r="P31" s="57"/>
      <c r="Q31" s="57"/>
      <c r="R31" s="57"/>
      <c r="S31" s="59">
        <f t="shared" si="27"/>
        <v>0</v>
      </c>
      <c r="T31" s="57"/>
      <c r="U31" s="57"/>
      <c r="V31" s="57"/>
      <c r="W31" s="59">
        <f t="shared" si="29"/>
        <v>0</v>
      </c>
      <c r="X31" s="75"/>
      <c r="Y31" s="74">
        <f t="shared" si="30"/>
        <v>0</v>
      </c>
    </row>
    <row r="32" spans="1:25" ht="12">
      <c r="A32" s="40"/>
      <c r="B32" s="1" t="s">
        <v>26</v>
      </c>
      <c r="C32" s="39"/>
      <c r="D32" s="57">
        <v>152350</v>
      </c>
      <c r="E32" s="58"/>
      <c r="F32" s="57"/>
      <c r="G32" s="58"/>
      <c r="H32" s="57">
        <f>76366/12</f>
        <v>6363.833333333333</v>
      </c>
      <c r="I32" s="57">
        <f t="shared" ref="I32:J32" si="55">76366/12</f>
        <v>6363.833333333333</v>
      </c>
      <c r="J32" s="57">
        <f t="shared" si="55"/>
        <v>6363.833333333333</v>
      </c>
      <c r="K32" s="59">
        <f t="shared" si="23"/>
        <v>19091.5</v>
      </c>
      <c r="L32" s="57">
        <f t="shared" ref="L32:N32" si="56">76366/12</f>
        <v>6363.833333333333</v>
      </c>
      <c r="M32" s="57">
        <f t="shared" si="56"/>
        <v>6363.833333333333</v>
      </c>
      <c r="N32" s="57">
        <f t="shared" si="56"/>
        <v>6363.833333333333</v>
      </c>
      <c r="O32" s="59">
        <f t="shared" si="25"/>
        <v>19091.5</v>
      </c>
      <c r="P32" s="57">
        <f t="shared" ref="P32:R32" si="57">76366/12</f>
        <v>6363.833333333333</v>
      </c>
      <c r="Q32" s="57">
        <f t="shared" si="57"/>
        <v>6363.833333333333</v>
      </c>
      <c r="R32" s="57">
        <f t="shared" si="57"/>
        <v>6363.833333333333</v>
      </c>
      <c r="S32" s="59">
        <f t="shared" si="27"/>
        <v>19091.5</v>
      </c>
      <c r="T32" s="57">
        <f t="shared" ref="T32:V32" si="58">76366/12</f>
        <v>6363.833333333333</v>
      </c>
      <c r="U32" s="57">
        <f t="shared" si="58"/>
        <v>6363.833333333333</v>
      </c>
      <c r="V32" s="57">
        <f t="shared" si="58"/>
        <v>6363.833333333333</v>
      </c>
      <c r="W32" s="59">
        <f t="shared" si="29"/>
        <v>19091.5</v>
      </c>
      <c r="X32" s="75"/>
      <c r="Y32" s="78">
        <f t="shared" si="30"/>
        <v>76366</v>
      </c>
    </row>
    <row r="33" spans="1:25" ht="12">
      <c r="A33" s="1"/>
      <c r="B33" s="48" t="s">
        <v>27</v>
      </c>
      <c r="C33" s="39"/>
      <c r="D33" s="68">
        <f>SUM(D19:D32)</f>
        <v>4691394</v>
      </c>
      <c r="E33" s="71"/>
      <c r="F33" s="68">
        <f>SUM(F19:F32)</f>
        <v>64</v>
      </c>
      <c r="G33" s="71"/>
      <c r="H33" s="79">
        <f>SUM(H19:H32)</f>
        <v>448231.16666666663</v>
      </c>
      <c r="I33" s="79">
        <f>SUM(I19:I32)</f>
        <v>448231.16666666663</v>
      </c>
      <c r="J33" s="79">
        <f>SUM(J19:J32)</f>
        <v>448231.16666666663</v>
      </c>
      <c r="K33" s="79">
        <f t="shared" si="23"/>
        <v>1344693.5</v>
      </c>
      <c r="L33" s="79">
        <f>SUM(L19:L32)</f>
        <v>448231.16666666663</v>
      </c>
      <c r="M33" s="79">
        <f>SUM(M19:M32)</f>
        <v>448231.16666666663</v>
      </c>
      <c r="N33" s="79">
        <f>SUM(N19:N32)</f>
        <v>448231.16666666663</v>
      </c>
      <c r="O33" s="79">
        <f t="shared" si="25"/>
        <v>1344693.5</v>
      </c>
      <c r="P33" s="79">
        <f>SUM(P19:P32)</f>
        <v>448231.16666666663</v>
      </c>
      <c r="Q33" s="79">
        <f>SUM(Q19:Q32)</f>
        <v>448231.16666666663</v>
      </c>
      <c r="R33" s="79">
        <f>SUM(R19:R32)</f>
        <v>448231.16666666663</v>
      </c>
      <c r="S33" s="79">
        <f t="shared" si="27"/>
        <v>1344693.5</v>
      </c>
      <c r="T33" s="79">
        <f>SUM(T19:T32)</f>
        <v>448231.16666666663</v>
      </c>
      <c r="U33" s="79">
        <f>SUM(U19:U32)</f>
        <v>448231.16666666663</v>
      </c>
      <c r="V33" s="79">
        <f>SUM(V19:V32)</f>
        <v>448231.16666666663</v>
      </c>
      <c r="W33" s="79">
        <f t="shared" si="29"/>
        <v>1344693.5</v>
      </c>
      <c r="X33" s="75"/>
      <c r="Y33" s="74">
        <f t="shared" si="30"/>
        <v>5378774</v>
      </c>
    </row>
    <row r="34" spans="1:25" ht="12">
      <c r="A34" s="1"/>
      <c r="C34" s="39"/>
      <c r="D34" s="53"/>
      <c r="E34" s="53"/>
      <c r="F34" s="53"/>
      <c r="G34" s="53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75"/>
    </row>
    <row r="35" spans="1:25" ht="12">
      <c r="A35" s="56" t="s">
        <v>28</v>
      </c>
      <c r="B35" s="1"/>
      <c r="C35" s="39"/>
      <c r="D35" s="1"/>
      <c r="F35" s="1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75"/>
    </row>
    <row r="36" spans="1:25" ht="12">
      <c r="A36" s="40"/>
      <c r="B36" s="1" t="s">
        <v>29</v>
      </c>
      <c r="C36" s="39"/>
      <c r="D36" s="57">
        <v>65625</v>
      </c>
      <c r="E36" s="58"/>
      <c r="F36" s="58"/>
      <c r="G36" s="58"/>
      <c r="H36" s="57">
        <f>32880/12</f>
        <v>2740</v>
      </c>
      <c r="I36" s="57">
        <f t="shared" ref="I36:J36" si="59">32880/12</f>
        <v>2740</v>
      </c>
      <c r="J36" s="57">
        <f t="shared" si="59"/>
        <v>2740</v>
      </c>
      <c r="K36" s="59">
        <f t="shared" ref="K36:K42" si="60">SUM(H36:J36)</f>
        <v>8220</v>
      </c>
      <c r="L36" s="57">
        <f t="shared" ref="L36:N36" si="61">32880/12</f>
        <v>2740</v>
      </c>
      <c r="M36" s="57">
        <f t="shared" si="61"/>
        <v>2740</v>
      </c>
      <c r="N36" s="57">
        <f t="shared" si="61"/>
        <v>2740</v>
      </c>
      <c r="O36" s="59">
        <f t="shared" ref="O36:O42" si="62">SUM(L36:N36)</f>
        <v>8220</v>
      </c>
      <c r="P36" s="57">
        <f t="shared" ref="P36:R36" si="63">32880/12</f>
        <v>2740</v>
      </c>
      <c r="Q36" s="57">
        <f t="shared" si="63"/>
        <v>2740</v>
      </c>
      <c r="R36" s="57">
        <f t="shared" si="63"/>
        <v>2740</v>
      </c>
      <c r="S36" s="59">
        <f t="shared" ref="S36:S42" si="64">SUM(P36:R36)</f>
        <v>8220</v>
      </c>
      <c r="T36" s="57">
        <f t="shared" ref="T36:V36" si="65">32880/12</f>
        <v>2740</v>
      </c>
      <c r="U36" s="57">
        <f t="shared" si="65"/>
        <v>2740</v>
      </c>
      <c r="V36" s="57">
        <f t="shared" si="65"/>
        <v>2740</v>
      </c>
      <c r="W36" s="59">
        <f t="shared" ref="W36:W42" si="66">SUM(T36:V36)</f>
        <v>8220</v>
      </c>
      <c r="X36" s="75"/>
      <c r="Y36" s="74">
        <f t="shared" ref="Y36:Y42" si="67">SUM(K36,O36,S36,W36)</f>
        <v>32880</v>
      </c>
    </row>
    <row r="37" spans="1:25" ht="12">
      <c r="A37" s="40"/>
      <c r="B37" s="1" t="s">
        <v>30</v>
      </c>
      <c r="C37" s="39"/>
      <c r="D37" s="57">
        <v>115500</v>
      </c>
      <c r="E37" s="58"/>
      <c r="F37" s="58"/>
      <c r="G37" s="58"/>
      <c r="H37" s="57">
        <f>53460/12</f>
        <v>4455</v>
      </c>
      <c r="I37" s="57">
        <f t="shared" ref="I37:J37" si="68">53460/12</f>
        <v>4455</v>
      </c>
      <c r="J37" s="57">
        <f t="shared" si="68"/>
        <v>4455</v>
      </c>
      <c r="K37" s="59">
        <f t="shared" si="60"/>
        <v>13365</v>
      </c>
      <c r="L37" s="57">
        <f t="shared" ref="L37:N37" si="69">53460/12</f>
        <v>4455</v>
      </c>
      <c r="M37" s="57">
        <f t="shared" si="69"/>
        <v>4455</v>
      </c>
      <c r="N37" s="57">
        <f t="shared" si="69"/>
        <v>4455</v>
      </c>
      <c r="O37" s="59">
        <f t="shared" si="62"/>
        <v>13365</v>
      </c>
      <c r="P37" s="57">
        <f t="shared" ref="P37:R37" si="70">53460/12</f>
        <v>4455</v>
      </c>
      <c r="Q37" s="57">
        <f t="shared" si="70"/>
        <v>4455</v>
      </c>
      <c r="R37" s="57">
        <f t="shared" si="70"/>
        <v>4455</v>
      </c>
      <c r="S37" s="59">
        <f t="shared" si="64"/>
        <v>13365</v>
      </c>
      <c r="T37" s="57">
        <f t="shared" ref="T37:V37" si="71">53460/12</f>
        <v>4455</v>
      </c>
      <c r="U37" s="57">
        <f t="shared" si="71"/>
        <v>4455</v>
      </c>
      <c r="V37" s="57">
        <f t="shared" si="71"/>
        <v>4455</v>
      </c>
      <c r="W37" s="59">
        <f t="shared" si="66"/>
        <v>13365</v>
      </c>
      <c r="X37" s="75"/>
      <c r="Y37" s="74">
        <f t="shared" si="67"/>
        <v>53460</v>
      </c>
    </row>
    <row r="38" spans="1:25" ht="12">
      <c r="A38" s="40"/>
      <c r="B38" s="1" t="s">
        <v>31</v>
      </c>
      <c r="C38" s="39"/>
      <c r="D38" s="57">
        <v>0</v>
      </c>
      <c r="E38" s="58"/>
      <c r="F38" s="58"/>
      <c r="G38" s="58"/>
      <c r="H38" s="57">
        <f>2740/12</f>
        <v>228.33333333333334</v>
      </c>
      <c r="I38" s="57">
        <f t="shared" ref="I38:J38" si="72">2740/12</f>
        <v>228.33333333333334</v>
      </c>
      <c r="J38" s="57">
        <f t="shared" si="72"/>
        <v>228.33333333333334</v>
      </c>
      <c r="K38" s="59">
        <f t="shared" si="60"/>
        <v>685</v>
      </c>
      <c r="L38" s="57">
        <f t="shared" ref="L38:N38" si="73">2740/12</f>
        <v>228.33333333333334</v>
      </c>
      <c r="M38" s="57">
        <f t="shared" si="73"/>
        <v>228.33333333333334</v>
      </c>
      <c r="N38" s="57">
        <f t="shared" si="73"/>
        <v>228.33333333333334</v>
      </c>
      <c r="O38" s="59">
        <f t="shared" si="62"/>
        <v>685</v>
      </c>
      <c r="P38" s="57">
        <f t="shared" ref="P38:R38" si="74">2740/12</f>
        <v>228.33333333333334</v>
      </c>
      <c r="Q38" s="57">
        <f t="shared" si="74"/>
        <v>228.33333333333334</v>
      </c>
      <c r="R38" s="57">
        <f t="shared" si="74"/>
        <v>228.33333333333334</v>
      </c>
      <c r="S38" s="59">
        <f t="shared" si="64"/>
        <v>685</v>
      </c>
      <c r="T38" s="57">
        <f t="shared" ref="T38:V38" si="75">2740/12</f>
        <v>228.33333333333334</v>
      </c>
      <c r="U38" s="57">
        <f t="shared" si="75"/>
        <v>228.33333333333334</v>
      </c>
      <c r="V38" s="57">
        <f t="shared" si="75"/>
        <v>228.33333333333334</v>
      </c>
      <c r="W38" s="59">
        <f t="shared" si="66"/>
        <v>685</v>
      </c>
      <c r="X38" s="75"/>
      <c r="Y38" s="74">
        <f t="shared" si="67"/>
        <v>2740</v>
      </c>
    </row>
    <row r="39" spans="1:25" ht="12">
      <c r="A39" s="40"/>
      <c r="B39" s="1" t="s">
        <v>32</v>
      </c>
      <c r="C39" s="39"/>
      <c r="D39" s="57">
        <v>25000</v>
      </c>
      <c r="E39" s="58"/>
      <c r="F39" s="58"/>
      <c r="G39" s="58"/>
      <c r="H39" s="57">
        <f>43000/12</f>
        <v>3583.3333333333335</v>
      </c>
      <c r="I39" s="57">
        <f t="shared" ref="I39:J39" si="76">43000/12</f>
        <v>3583.3333333333335</v>
      </c>
      <c r="J39" s="57">
        <f t="shared" si="76"/>
        <v>3583.3333333333335</v>
      </c>
      <c r="K39" s="59">
        <f t="shared" si="60"/>
        <v>10750</v>
      </c>
      <c r="L39" s="57">
        <f t="shared" ref="L39:N39" si="77">43000/12</f>
        <v>3583.3333333333335</v>
      </c>
      <c r="M39" s="57">
        <f t="shared" si="77"/>
        <v>3583.3333333333335</v>
      </c>
      <c r="N39" s="57">
        <f t="shared" si="77"/>
        <v>3583.3333333333335</v>
      </c>
      <c r="O39" s="59">
        <f t="shared" si="62"/>
        <v>10750</v>
      </c>
      <c r="P39" s="57">
        <f t="shared" ref="P39:R39" si="78">43000/12</f>
        <v>3583.3333333333335</v>
      </c>
      <c r="Q39" s="57">
        <f t="shared" si="78"/>
        <v>3583.3333333333335</v>
      </c>
      <c r="R39" s="57">
        <f t="shared" si="78"/>
        <v>3583.3333333333335</v>
      </c>
      <c r="S39" s="59">
        <f t="shared" si="64"/>
        <v>10750</v>
      </c>
      <c r="T39" s="57">
        <f t="shared" ref="T39:V39" si="79">43000/12</f>
        <v>3583.3333333333335</v>
      </c>
      <c r="U39" s="57">
        <f t="shared" si="79"/>
        <v>3583.3333333333335</v>
      </c>
      <c r="V39" s="57">
        <f t="shared" si="79"/>
        <v>3583.3333333333335</v>
      </c>
      <c r="W39" s="59">
        <f t="shared" si="66"/>
        <v>10750</v>
      </c>
      <c r="X39" s="75"/>
      <c r="Y39" s="74">
        <f t="shared" si="67"/>
        <v>43000</v>
      </c>
    </row>
    <row r="40" spans="1:25" ht="12">
      <c r="A40" s="40"/>
      <c r="B40" s="1" t="s">
        <v>33</v>
      </c>
      <c r="C40" s="39"/>
      <c r="D40" s="57"/>
      <c r="E40" s="58"/>
      <c r="F40" s="58"/>
      <c r="G40" s="58"/>
      <c r="H40" s="57">
        <f>1309433/12</f>
        <v>109119.41666666667</v>
      </c>
      <c r="I40" s="57">
        <f t="shared" ref="I40:J40" si="80">1309433/12</f>
        <v>109119.41666666667</v>
      </c>
      <c r="J40" s="57">
        <f t="shared" si="80"/>
        <v>109119.41666666667</v>
      </c>
      <c r="K40" s="59">
        <f t="shared" si="60"/>
        <v>327358.25</v>
      </c>
      <c r="L40" s="57">
        <f t="shared" ref="L40:N40" si="81">1309433/12</f>
        <v>109119.41666666667</v>
      </c>
      <c r="M40" s="57">
        <f t="shared" si="81"/>
        <v>109119.41666666667</v>
      </c>
      <c r="N40" s="57">
        <f t="shared" si="81"/>
        <v>109119.41666666667</v>
      </c>
      <c r="O40" s="59">
        <f t="shared" si="62"/>
        <v>327358.25</v>
      </c>
      <c r="P40" s="57">
        <f t="shared" ref="P40:R40" si="82">1309433/12</f>
        <v>109119.41666666667</v>
      </c>
      <c r="Q40" s="57">
        <f t="shared" si="82"/>
        <v>109119.41666666667</v>
      </c>
      <c r="R40" s="57">
        <f t="shared" si="82"/>
        <v>109119.41666666667</v>
      </c>
      <c r="S40" s="59">
        <f t="shared" si="64"/>
        <v>327358.25</v>
      </c>
      <c r="T40" s="57">
        <f t="shared" ref="T40:V40" si="83">1309433/12</f>
        <v>109119.41666666667</v>
      </c>
      <c r="U40" s="57">
        <f t="shared" si="83"/>
        <v>109119.41666666667</v>
      </c>
      <c r="V40" s="57">
        <f t="shared" si="83"/>
        <v>109119.41666666667</v>
      </c>
      <c r="W40" s="59">
        <f t="shared" si="66"/>
        <v>327358.25</v>
      </c>
      <c r="X40" s="75"/>
      <c r="Y40" s="74">
        <f t="shared" si="67"/>
        <v>1309433</v>
      </c>
    </row>
    <row r="41" spans="1:25" ht="12">
      <c r="A41" s="40"/>
      <c r="B41" s="1" t="s">
        <v>34</v>
      </c>
      <c r="C41" s="39"/>
      <c r="D41" s="57">
        <v>201500</v>
      </c>
      <c r="E41" s="58"/>
      <c r="F41" s="58"/>
      <c r="G41" s="58"/>
      <c r="H41" s="57">
        <f>305712/12</f>
        <v>25476</v>
      </c>
      <c r="I41" s="57">
        <f t="shared" ref="I41:J41" si="84">305712/12</f>
        <v>25476</v>
      </c>
      <c r="J41" s="57">
        <f t="shared" si="84"/>
        <v>25476</v>
      </c>
      <c r="K41" s="59">
        <f t="shared" si="60"/>
        <v>76428</v>
      </c>
      <c r="L41" s="57">
        <f t="shared" ref="L41:N41" si="85">305712/12</f>
        <v>25476</v>
      </c>
      <c r="M41" s="57">
        <f t="shared" si="85"/>
        <v>25476</v>
      </c>
      <c r="N41" s="57">
        <f t="shared" si="85"/>
        <v>25476</v>
      </c>
      <c r="O41" s="59">
        <f t="shared" si="62"/>
        <v>76428</v>
      </c>
      <c r="P41" s="57">
        <f t="shared" ref="P41:R41" si="86">305712/12</f>
        <v>25476</v>
      </c>
      <c r="Q41" s="57">
        <f t="shared" si="86"/>
        <v>25476</v>
      </c>
      <c r="R41" s="57">
        <f t="shared" si="86"/>
        <v>25476</v>
      </c>
      <c r="S41" s="59">
        <f t="shared" si="64"/>
        <v>76428</v>
      </c>
      <c r="T41" s="57">
        <f t="shared" ref="T41:U41" si="87">305712/12</f>
        <v>25476</v>
      </c>
      <c r="U41" s="57">
        <f t="shared" si="87"/>
        <v>25476</v>
      </c>
      <c r="V41" s="57">
        <f>305712/12-2</f>
        <v>25474</v>
      </c>
      <c r="W41" s="59">
        <f t="shared" si="66"/>
        <v>76426</v>
      </c>
      <c r="X41" s="75"/>
      <c r="Y41" s="78">
        <f t="shared" si="67"/>
        <v>305710</v>
      </c>
    </row>
    <row r="42" spans="1:25" ht="12">
      <c r="A42" s="1"/>
      <c r="B42" s="48" t="s">
        <v>35</v>
      </c>
      <c r="C42" s="39"/>
      <c r="D42" s="49">
        <f>SUM(D36:D41)</f>
        <v>407625</v>
      </c>
      <c r="E42" s="50"/>
      <c r="F42" s="50"/>
      <c r="G42" s="50"/>
      <c r="H42" s="79">
        <f>SUM(H36:H41)</f>
        <v>145602.08333333334</v>
      </c>
      <c r="I42" s="79">
        <f t="shared" ref="I42:J42" si="88">SUM(I36:I41)</f>
        <v>145602.08333333334</v>
      </c>
      <c r="J42" s="79">
        <f t="shared" si="88"/>
        <v>145602.08333333334</v>
      </c>
      <c r="K42" s="79">
        <f t="shared" si="60"/>
        <v>436806.25</v>
      </c>
      <c r="L42" s="79">
        <f>SUM(L36:L41)</f>
        <v>145602.08333333334</v>
      </c>
      <c r="M42" s="79">
        <f t="shared" ref="M42:N42" si="89">SUM(M36:M41)</f>
        <v>145602.08333333334</v>
      </c>
      <c r="N42" s="79">
        <f t="shared" si="89"/>
        <v>145602.08333333334</v>
      </c>
      <c r="O42" s="79">
        <f t="shared" si="62"/>
        <v>436806.25</v>
      </c>
      <c r="P42" s="79">
        <f>SUM(P36:P41)</f>
        <v>145602.08333333334</v>
      </c>
      <c r="Q42" s="79">
        <f t="shared" ref="Q42:R42" si="90">SUM(Q36:Q41)</f>
        <v>145602.08333333334</v>
      </c>
      <c r="R42" s="79">
        <f t="shared" si="90"/>
        <v>145602.08333333334</v>
      </c>
      <c r="S42" s="79">
        <f t="shared" si="64"/>
        <v>436806.25</v>
      </c>
      <c r="T42" s="79">
        <f>SUM(T36:T41)</f>
        <v>145602.08333333334</v>
      </c>
      <c r="U42" s="79">
        <f t="shared" ref="U42:V42" si="91">SUM(U36:U41)</f>
        <v>145602.08333333334</v>
      </c>
      <c r="V42" s="79">
        <f t="shared" si="91"/>
        <v>145600.08333333334</v>
      </c>
      <c r="W42" s="79">
        <f t="shared" si="66"/>
        <v>436804.25</v>
      </c>
      <c r="X42" s="75"/>
      <c r="Y42" s="74">
        <f t="shared" si="67"/>
        <v>1747223</v>
      </c>
    </row>
    <row r="43" spans="1:25" ht="12">
      <c r="A43" s="45"/>
      <c r="B43" s="45"/>
      <c r="C43" s="39"/>
      <c r="D43" s="40"/>
      <c r="F43" s="1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75"/>
    </row>
    <row r="44" spans="1:25" ht="12">
      <c r="A44" s="60" t="s">
        <v>36</v>
      </c>
      <c r="B44" s="40"/>
      <c r="C44" s="39"/>
      <c r="D44" s="59"/>
      <c r="E44" s="58"/>
      <c r="F44" s="58"/>
      <c r="G44" s="58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75"/>
    </row>
    <row r="45" spans="1:25" ht="12">
      <c r="A45" s="40"/>
      <c r="B45" s="40" t="s">
        <v>37</v>
      </c>
      <c r="C45" s="39"/>
      <c r="D45" s="57">
        <v>1800000</v>
      </c>
      <c r="E45" s="58"/>
      <c r="F45" s="58"/>
      <c r="G45" s="58"/>
      <c r="H45" s="57">
        <f>1726604/12</f>
        <v>143883.66666666666</v>
      </c>
      <c r="I45" s="57">
        <f t="shared" ref="I45:J45" si="92">1726604/12</f>
        <v>143883.66666666666</v>
      </c>
      <c r="J45" s="57">
        <f t="shared" si="92"/>
        <v>143883.66666666666</v>
      </c>
      <c r="K45" s="59">
        <f t="shared" ref="K45:K50" si="93">SUM(H45:J45)</f>
        <v>431651</v>
      </c>
      <c r="L45" s="57">
        <f t="shared" ref="L45:N45" si="94">1726604/12</f>
        <v>143883.66666666666</v>
      </c>
      <c r="M45" s="57">
        <f t="shared" si="94"/>
        <v>143883.66666666666</v>
      </c>
      <c r="N45" s="57">
        <f t="shared" si="94"/>
        <v>143883.66666666666</v>
      </c>
      <c r="O45" s="59">
        <f t="shared" ref="O45:O50" si="95">SUM(L45:N45)</f>
        <v>431651</v>
      </c>
      <c r="P45" s="57">
        <f t="shared" ref="P45:R45" si="96">1726604/12</f>
        <v>143883.66666666666</v>
      </c>
      <c r="Q45" s="57">
        <f t="shared" si="96"/>
        <v>143883.66666666666</v>
      </c>
      <c r="R45" s="57">
        <f t="shared" si="96"/>
        <v>143883.66666666666</v>
      </c>
      <c r="S45" s="59">
        <f t="shared" ref="S45:S50" si="97">SUM(P45:R45)</f>
        <v>431651</v>
      </c>
      <c r="T45" s="57">
        <f t="shared" ref="T45:V45" si="98">1726604/12</f>
        <v>143883.66666666666</v>
      </c>
      <c r="U45" s="57">
        <f t="shared" si="98"/>
        <v>143883.66666666666</v>
      </c>
      <c r="V45" s="57">
        <f t="shared" si="98"/>
        <v>143883.66666666666</v>
      </c>
      <c r="W45" s="59">
        <f t="shared" ref="W45:W50" si="99">SUM(T45:V45)</f>
        <v>431651</v>
      </c>
      <c r="X45" s="75"/>
      <c r="Y45" s="74">
        <f t="shared" ref="Y45:Y50" si="100">SUM(K45,O45,S45,W45)</f>
        <v>1726604</v>
      </c>
    </row>
    <row r="46" spans="1:25" ht="12">
      <c r="A46" s="40"/>
      <c r="B46" s="40" t="s">
        <v>38</v>
      </c>
      <c r="C46" s="39"/>
      <c r="D46" s="57">
        <v>120000</v>
      </c>
      <c r="E46" s="58"/>
      <c r="F46" s="58"/>
      <c r="G46" s="58"/>
      <c r="H46" s="57">
        <f>156000/12</f>
        <v>13000</v>
      </c>
      <c r="I46" s="57">
        <f t="shared" ref="I46:J46" si="101">156000/12</f>
        <v>13000</v>
      </c>
      <c r="J46" s="57">
        <f t="shared" si="101"/>
        <v>13000</v>
      </c>
      <c r="K46" s="59">
        <f t="shared" si="93"/>
        <v>39000</v>
      </c>
      <c r="L46" s="57">
        <f t="shared" ref="L46:N46" si="102">156000/12</f>
        <v>13000</v>
      </c>
      <c r="M46" s="57">
        <f t="shared" si="102"/>
        <v>13000</v>
      </c>
      <c r="N46" s="57">
        <f t="shared" si="102"/>
        <v>13000</v>
      </c>
      <c r="O46" s="59">
        <f t="shared" si="95"/>
        <v>39000</v>
      </c>
      <c r="P46" s="57">
        <f t="shared" ref="P46:R46" si="103">156000/12</f>
        <v>13000</v>
      </c>
      <c r="Q46" s="57">
        <f t="shared" si="103"/>
        <v>13000</v>
      </c>
      <c r="R46" s="57">
        <f t="shared" si="103"/>
        <v>13000</v>
      </c>
      <c r="S46" s="59">
        <f t="shared" si="97"/>
        <v>39000</v>
      </c>
      <c r="T46" s="57">
        <f t="shared" ref="T46:V46" si="104">156000/12</f>
        <v>13000</v>
      </c>
      <c r="U46" s="57">
        <f t="shared" si="104"/>
        <v>13000</v>
      </c>
      <c r="V46" s="57">
        <f t="shared" si="104"/>
        <v>13000</v>
      </c>
      <c r="W46" s="59">
        <f t="shared" si="99"/>
        <v>39000</v>
      </c>
      <c r="X46" s="75"/>
      <c r="Y46" s="74">
        <f t="shared" si="100"/>
        <v>156000</v>
      </c>
    </row>
    <row r="47" spans="1:25" ht="12">
      <c r="A47" s="40"/>
      <c r="B47" s="40" t="s">
        <v>39</v>
      </c>
      <c r="C47" s="39"/>
      <c r="D47" s="57">
        <v>132000</v>
      </c>
      <c r="E47" s="58"/>
      <c r="F47" s="58"/>
      <c r="G47" s="58"/>
      <c r="H47" s="57">
        <f>140000/12</f>
        <v>11666.666666666666</v>
      </c>
      <c r="I47" s="57">
        <f t="shared" ref="I47:J47" si="105">140000/12</f>
        <v>11666.666666666666</v>
      </c>
      <c r="J47" s="57">
        <f t="shared" si="105"/>
        <v>11666.666666666666</v>
      </c>
      <c r="K47" s="59">
        <f t="shared" si="93"/>
        <v>35000</v>
      </c>
      <c r="L47" s="57">
        <f t="shared" ref="L47:N47" si="106">140000/12</f>
        <v>11666.666666666666</v>
      </c>
      <c r="M47" s="57">
        <f t="shared" si="106"/>
        <v>11666.666666666666</v>
      </c>
      <c r="N47" s="57">
        <f t="shared" si="106"/>
        <v>11666.666666666666</v>
      </c>
      <c r="O47" s="59">
        <f t="shared" si="95"/>
        <v>35000</v>
      </c>
      <c r="P47" s="57">
        <f t="shared" ref="P47:R47" si="107">140000/12</f>
        <v>11666.666666666666</v>
      </c>
      <c r="Q47" s="57">
        <f t="shared" si="107"/>
        <v>11666.666666666666</v>
      </c>
      <c r="R47" s="57">
        <f t="shared" si="107"/>
        <v>11666.666666666666</v>
      </c>
      <c r="S47" s="59">
        <f t="shared" si="97"/>
        <v>35000</v>
      </c>
      <c r="T47" s="57">
        <f t="shared" ref="T47:V47" si="108">140000/12</f>
        <v>11666.666666666666</v>
      </c>
      <c r="U47" s="57">
        <f t="shared" si="108"/>
        <v>11666.666666666666</v>
      </c>
      <c r="V47" s="57">
        <f t="shared" si="108"/>
        <v>11666.666666666666</v>
      </c>
      <c r="W47" s="59">
        <f t="shared" si="99"/>
        <v>35000</v>
      </c>
      <c r="X47" s="75"/>
      <c r="Y47" s="74">
        <f t="shared" si="100"/>
        <v>140000</v>
      </c>
    </row>
    <row r="48" spans="1:25" ht="12">
      <c r="A48" s="40"/>
      <c r="B48" s="40" t="s">
        <v>40</v>
      </c>
      <c r="C48" s="39"/>
      <c r="D48" s="57">
        <v>223000</v>
      </c>
      <c r="E48" s="58"/>
      <c r="F48" s="58"/>
      <c r="G48" s="58"/>
      <c r="H48" s="57">
        <f>25200/12</f>
        <v>2100</v>
      </c>
      <c r="I48" s="57">
        <f t="shared" ref="I48:J48" si="109">25200/12</f>
        <v>2100</v>
      </c>
      <c r="J48" s="57">
        <f t="shared" si="109"/>
        <v>2100</v>
      </c>
      <c r="K48" s="59">
        <f t="shared" si="93"/>
        <v>6300</v>
      </c>
      <c r="L48" s="57">
        <f t="shared" ref="L48:N48" si="110">25200/12</f>
        <v>2100</v>
      </c>
      <c r="M48" s="57">
        <f t="shared" si="110"/>
        <v>2100</v>
      </c>
      <c r="N48" s="57">
        <f t="shared" si="110"/>
        <v>2100</v>
      </c>
      <c r="O48" s="59">
        <f t="shared" si="95"/>
        <v>6300</v>
      </c>
      <c r="P48" s="57">
        <f t="shared" ref="P48:R48" si="111">25200/12</f>
        <v>2100</v>
      </c>
      <c r="Q48" s="57">
        <f t="shared" si="111"/>
        <v>2100</v>
      </c>
      <c r="R48" s="57">
        <f t="shared" si="111"/>
        <v>2100</v>
      </c>
      <c r="S48" s="59">
        <f t="shared" si="97"/>
        <v>6300</v>
      </c>
      <c r="T48" s="57">
        <f t="shared" ref="T48:V48" si="112">25200/12</f>
        <v>2100</v>
      </c>
      <c r="U48" s="57">
        <f t="shared" si="112"/>
        <v>2100</v>
      </c>
      <c r="V48" s="57">
        <f t="shared" si="112"/>
        <v>2100</v>
      </c>
      <c r="W48" s="59">
        <f t="shared" si="99"/>
        <v>6300</v>
      </c>
      <c r="X48" s="75"/>
      <c r="Y48" s="74">
        <f t="shared" si="100"/>
        <v>25200</v>
      </c>
    </row>
    <row r="49" spans="1:25" ht="12">
      <c r="A49" s="40"/>
      <c r="B49" s="40" t="s">
        <v>41</v>
      </c>
      <c r="C49" s="39"/>
      <c r="D49" s="57">
        <v>120000</v>
      </c>
      <c r="E49" s="58"/>
      <c r="F49" s="58"/>
      <c r="G49" s="58"/>
      <c r="H49" s="57">
        <f>174000/12</f>
        <v>14500</v>
      </c>
      <c r="I49" s="57">
        <f t="shared" ref="I49:J49" si="113">174000/12</f>
        <v>14500</v>
      </c>
      <c r="J49" s="57">
        <f t="shared" si="113"/>
        <v>14500</v>
      </c>
      <c r="K49" s="59">
        <f t="shared" si="93"/>
        <v>43500</v>
      </c>
      <c r="L49" s="57">
        <f t="shared" ref="L49:N49" si="114">174000/12</f>
        <v>14500</v>
      </c>
      <c r="M49" s="57">
        <f t="shared" si="114"/>
        <v>14500</v>
      </c>
      <c r="N49" s="57">
        <f t="shared" si="114"/>
        <v>14500</v>
      </c>
      <c r="O49" s="59">
        <f t="shared" si="95"/>
        <v>43500</v>
      </c>
      <c r="P49" s="57">
        <f t="shared" ref="P49:R49" si="115">174000/12</f>
        <v>14500</v>
      </c>
      <c r="Q49" s="57">
        <f t="shared" si="115"/>
        <v>14500</v>
      </c>
      <c r="R49" s="57">
        <f t="shared" si="115"/>
        <v>14500</v>
      </c>
      <c r="S49" s="59">
        <f t="shared" si="97"/>
        <v>43500</v>
      </c>
      <c r="T49" s="57">
        <f t="shared" ref="T49:V49" si="116">174000/12</f>
        <v>14500</v>
      </c>
      <c r="U49" s="57">
        <f t="shared" si="116"/>
        <v>14500</v>
      </c>
      <c r="V49" s="57">
        <f t="shared" si="116"/>
        <v>14500</v>
      </c>
      <c r="W49" s="59">
        <f t="shared" si="99"/>
        <v>43500</v>
      </c>
      <c r="X49" s="75"/>
      <c r="Y49" s="78">
        <f t="shared" si="100"/>
        <v>174000</v>
      </c>
    </row>
    <row r="50" spans="1:25" ht="12">
      <c r="A50" s="40"/>
      <c r="B50" s="48" t="s">
        <v>42</v>
      </c>
      <c r="C50" s="39"/>
      <c r="D50" s="49">
        <f>SUM(D45:D49)</f>
        <v>2395000</v>
      </c>
      <c r="E50" s="50"/>
      <c r="F50" s="50"/>
      <c r="G50" s="50"/>
      <c r="H50" s="79">
        <f>SUM(H45:H49)</f>
        <v>185150.33333333331</v>
      </c>
      <c r="I50" s="79">
        <f t="shared" ref="I50:J50" si="117">SUM(I45:I49)</f>
        <v>185150.33333333331</v>
      </c>
      <c r="J50" s="79">
        <f t="shared" si="117"/>
        <v>185150.33333333331</v>
      </c>
      <c r="K50" s="79">
        <f t="shared" si="93"/>
        <v>555451</v>
      </c>
      <c r="L50" s="79">
        <f>SUM(L45:L49)</f>
        <v>185150.33333333331</v>
      </c>
      <c r="M50" s="79">
        <f t="shared" ref="M50:N50" si="118">SUM(M45:M49)</f>
        <v>185150.33333333331</v>
      </c>
      <c r="N50" s="79">
        <f t="shared" si="118"/>
        <v>185150.33333333331</v>
      </c>
      <c r="O50" s="79">
        <f t="shared" si="95"/>
        <v>555451</v>
      </c>
      <c r="P50" s="79">
        <f>SUM(P45:P49)</f>
        <v>185150.33333333331</v>
      </c>
      <c r="Q50" s="79">
        <f t="shared" ref="Q50:R50" si="119">SUM(Q45:Q49)</f>
        <v>185150.33333333331</v>
      </c>
      <c r="R50" s="79">
        <f t="shared" si="119"/>
        <v>185150.33333333331</v>
      </c>
      <c r="S50" s="79">
        <f t="shared" si="97"/>
        <v>555451</v>
      </c>
      <c r="T50" s="79">
        <f>SUM(T45:T49)</f>
        <v>185150.33333333331</v>
      </c>
      <c r="U50" s="79">
        <f t="shared" ref="U50:V50" si="120">SUM(U45:U49)</f>
        <v>185150.33333333331</v>
      </c>
      <c r="V50" s="79">
        <f t="shared" si="120"/>
        <v>185150.33333333331</v>
      </c>
      <c r="W50" s="79">
        <f t="shared" si="99"/>
        <v>555451</v>
      </c>
      <c r="X50" s="75"/>
      <c r="Y50" s="74">
        <f t="shared" si="100"/>
        <v>2221804</v>
      </c>
    </row>
    <row r="51" spans="1:25" ht="12">
      <c r="A51" s="40"/>
      <c r="B51" s="45"/>
      <c r="C51" s="39"/>
      <c r="D51" s="53"/>
      <c r="E51" s="53"/>
      <c r="F51" s="53"/>
      <c r="G51" s="53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75"/>
    </row>
    <row r="52" spans="1:25" ht="12">
      <c r="A52" s="60" t="s">
        <v>43</v>
      </c>
      <c r="B52" s="40"/>
      <c r="C52" s="39"/>
      <c r="D52" s="40"/>
      <c r="F52" s="1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75"/>
    </row>
    <row r="53" spans="1:25" ht="12">
      <c r="A53" s="40"/>
      <c r="B53" s="40" t="s">
        <v>44</v>
      </c>
      <c r="C53" s="39"/>
      <c r="D53" s="57">
        <v>10000</v>
      </c>
      <c r="E53" s="58"/>
      <c r="F53" s="58"/>
      <c r="G53" s="58"/>
      <c r="H53" s="57">
        <f>24000/12</f>
        <v>2000</v>
      </c>
      <c r="I53" s="57">
        <f t="shared" ref="I53:J53" si="121">24000/12</f>
        <v>2000</v>
      </c>
      <c r="J53" s="57">
        <f t="shared" si="121"/>
        <v>2000</v>
      </c>
      <c r="K53" s="59">
        <f t="shared" ref="K53:K60" si="122">SUM(H53:J53)</f>
        <v>6000</v>
      </c>
      <c r="L53" s="57">
        <f t="shared" ref="L53:N53" si="123">24000/12</f>
        <v>2000</v>
      </c>
      <c r="M53" s="57">
        <f t="shared" si="123"/>
        <v>2000</v>
      </c>
      <c r="N53" s="57">
        <f t="shared" si="123"/>
        <v>2000</v>
      </c>
      <c r="O53" s="59">
        <f t="shared" ref="O53:O60" si="124">SUM(L53:N53)</f>
        <v>6000</v>
      </c>
      <c r="P53" s="57">
        <f t="shared" ref="P53:R53" si="125">24000/12</f>
        <v>2000</v>
      </c>
      <c r="Q53" s="57">
        <f t="shared" si="125"/>
        <v>2000</v>
      </c>
      <c r="R53" s="57">
        <f t="shared" si="125"/>
        <v>2000</v>
      </c>
      <c r="S53" s="59">
        <f t="shared" ref="S53:S60" si="126">SUM(P53:R53)</f>
        <v>6000</v>
      </c>
      <c r="T53" s="57">
        <f t="shared" ref="T53:V53" si="127">24000/12</f>
        <v>2000</v>
      </c>
      <c r="U53" s="57">
        <f t="shared" si="127"/>
        <v>2000</v>
      </c>
      <c r="V53" s="57">
        <f t="shared" si="127"/>
        <v>2000</v>
      </c>
      <c r="W53" s="59">
        <f t="shared" ref="W53:W60" si="128">SUM(T53:V53)</f>
        <v>6000</v>
      </c>
      <c r="X53" s="75"/>
      <c r="Y53" s="74">
        <f t="shared" ref="Y53:Y60" si="129">SUM(K53,O53,S53,W53)</f>
        <v>24000</v>
      </c>
    </row>
    <row r="54" spans="1:25" ht="12">
      <c r="A54" s="40"/>
      <c r="B54" s="40" t="s">
        <v>45</v>
      </c>
      <c r="C54" s="39"/>
      <c r="D54" s="57">
        <v>60000</v>
      </c>
      <c r="E54" s="58"/>
      <c r="F54" s="58"/>
      <c r="G54" s="58"/>
      <c r="H54" s="57">
        <f>37000/12</f>
        <v>3083.3333333333335</v>
      </c>
      <c r="I54" s="57">
        <f t="shared" ref="I54:J54" si="130">37000/12</f>
        <v>3083.3333333333335</v>
      </c>
      <c r="J54" s="57">
        <f t="shared" si="130"/>
        <v>3083.3333333333335</v>
      </c>
      <c r="K54" s="59">
        <f t="shared" si="122"/>
        <v>9250</v>
      </c>
      <c r="L54" s="57">
        <f t="shared" ref="L54:N54" si="131">37000/12</f>
        <v>3083.3333333333335</v>
      </c>
      <c r="M54" s="57">
        <f t="shared" si="131"/>
        <v>3083.3333333333335</v>
      </c>
      <c r="N54" s="57">
        <f t="shared" si="131"/>
        <v>3083.3333333333335</v>
      </c>
      <c r="O54" s="59">
        <f t="shared" si="124"/>
        <v>9250</v>
      </c>
      <c r="P54" s="57">
        <f t="shared" ref="P54:R54" si="132">37000/12</f>
        <v>3083.3333333333335</v>
      </c>
      <c r="Q54" s="57">
        <f t="shared" si="132"/>
        <v>3083.3333333333335</v>
      </c>
      <c r="R54" s="57">
        <f t="shared" si="132"/>
        <v>3083.3333333333335</v>
      </c>
      <c r="S54" s="59">
        <f t="shared" si="126"/>
        <v>9250</v>
      </c>
      <c r="T54" s="57">
        <f t="shared" ref="T54:V54" si="133">37000/12</f>
        <v>3083.3333333333335</v>
      </c>
      <c r="U54" s="57">
        <f t="shared" si="133"/>
        <v>3083.3333333333335</v>
      </c>
      <c r="V54" s="57">
        <f t="shared" si="133"/>
        <v>3083.3333333333335</v>
      </c>
      <c r="W54" s="59">
        <f t="shared" si="128"/>
        <v>9250</v>
      </c>
      <c r="X54" s="75"/>
      <c r="Y54" s="74">
        <f t="shared" si="129"/>
        <v>37000</v>
      </c>
    </row>
    <row r="55" spans="1:25" ht="12">
      <c r="A55" s="40"/>
      <c r="B55" s="40" t="s">
        <v>46</v>
      </c>
      <c r="C55" s="39"/>
      <c r="D55" s="57">
        <v>153000</v>
      </c>
      <c r="E55" s="58"/>
      <c r="F55" s="58"/>
      <c r="G55" s="58"/>
      <c r="H55" s="57">
        <f>163720/12</f>
        <v>13643.333333333334</v>
      </c>
      <c r="I55" s="57">
        <f t="shared" ref="I55:J55" si="134">163720/12</f>
        <v>13643.333333333334</v>
      </c>
      <c r="J55" s="57">
        <f t="shared" si="134"/>
        <v>13643.333333333334</v>
      </c>
      <c r="K55" s="59">
        <f t="shared" si="122"/>
        <v>40930</v>
      </c>
      <c r="L55" s="57">
        <f t="shared" ref="L55:N55" si="135">163720/12</f>
        <v>13643.333333333334</v>
      </c>
      <c r="M55" s="57">
        <f t="shared" si="135"/>
        <v>13643.333333333334</v>
      </c>
      <c r="N55" s="57">
        <f t="shared" si="135"/>
        <v>13643.333333333334</v>
      </c>
      <c r="O55" s="59">
        <f t="shared" si="124"/>
        <v>40930</v>
      </c>
      <c r="P55" s="57">
        <f t="shared" ref="P55:R55" si="136">163720/12</f>
        <v>13643.333333333334</v>
      </c>
      <c r="Q55" s="57">
        <f t="shared" si="136"/>
        <v>13643.333333333334</v>
      </c>
      <c r="R55" s="57">
        <f t="shared" si="136"/>
        <v>13643.333333333334</v>
      </c>
      <c r="S55" s="59">
        <f t="shared" si="126"/>
        <v>40930</v>
      </c>
      <c r="T55" s="57">
        <f t="shared" ref="T55:V55" si="137">163720/12</f>
        <v>13643.333333333334</v>
      </c>
      <c r="U55" s="57">
        <f t="shared" si="137"/>
        <v>13643.333333333334</v>
      </c>
      <c r="V55" s="57">
        <f t="shared" si="137"/>
        <v>13643.333333333334</v>
      </c>
      <c r="W55" s="59">
        <f t="shared" si="128"/>
        <v>40930</v>
      </c>
      <c r="X55" s="75"/>
      <c r="Y55" s="74">
        <f t="shared" si="129"/>
        <v>163720</v>
      </c>
    </row>
    <row r="56" spans="1:25" ht="12">
      <c r="A56" s="40"/>
      <c r="B56" s="40" t="s">
        <v>47</v>
      </c>
      <c r="C56" s="39"/>
      <c r="D56" s="57">
        <v>53010</v>
      </c>
      <c r="E56" s="58"/>
      <c r="F56" s="58"/>
      <c r="G56" s="58"/>
      <c r="H56" s="57">
        <f>43631/12</f>
        <v>3635.9166666666665</v>
      </c>
      <c r="I56" s="57">
        <f t="shared" ref="I56:J56" si="138">43631/12</f>
        <v>3635.9166666666665</v>
      </c>
      <c r="J56" s="57">
        <f t="shared" si="138"/>
        <v>3635.9166666666665</v>
      </c>
      <c r="K56" s="59">
        <f t="shared" si="122"/>
        <v>10907.75</v>
      </c>
      <c r="L56" s="57">
        <f t="shared" ref="L56:N56" si="139">43631/12</f>
        <v>3635.9166666666665</v>
      </c>
      <c r="M56" s="57">
        <f t="shared" si="139"/>
        <v>3635.9166666666665</v>
      </c>
      <c r="N56" s="57">
        <f t="shared" si="139"/>
        <v>3635.9166666666665</v>
      </c>
      <c r="O56" s="59">
        <f t="shared" si="124"/>
        <v>10907.75</v>
      </c>
      <c r="P56" s="57">
        <f t="shared" ref="P56:R56" si="140">43631/12</f>
        <v>3635.9166666666665</v>
      </c>
      <c r="Q56" s="57">
        <f t="shared" si="140"/>
        <v>3635.9166666666665</v>
      </c>
      <c r="R56" s="57">
        <f t="shared" si="140"/>
        <v>3635.9166666666665</v>
      </c>
      <c r="S56" s="59">
        <f t="shared" si="126"/>
        <v>10907.75</v>
      </c>
      <c r="T56" s="57">
        <f t="shared" ref="T56:V56" si="141">43631/12</f>
        <v>3635.9166666666665</v>
      </c>
      <c r="U56" s="57">
        <f t="shared" si="141"/>
        <v>3635.9166666666665</v>
      </c>
      <c r="V56" s="57">
        <f t="shared" si="141"/>
        <v>3635.9166666666665</v>
      </c>
      <c r="W56" s="59">
        <f t="shared" si="128"/>
        <v>10907.75</v>
      </c>
      <c r="X56" s="75"/>
      <c r="Y56" s="74">
        <f t="shared" si="129"/>
        <v>43631</v>
      </c>
    </row>
    <row r="57" spans="1:25" ht="12">
      <c r="A57" s="40"/>
      <c r="B57" s="40" t="s">
        <v>48</v>
      </c>
      <c r="C57" s="39"/>
      <c r="D57" s="57">
        <v>15000</v>
      </c>
      <c r="E57" s="58"/>
      <c r="F57" s="58"/>
      <c r="G57" s="58"/>
      <c r="H57" s="57">
        <f>10000/12</f>
        <v>833.33333333333337</v>
      </c>
      <c r="I57" s="57">
        <f t="shared" ref="I57:J57" si="142">10000/12</f>
        <v>833.33333333333337</v>
      </c>
      <c r="J57" s="57">
        <f t="shared" si="142"/>
        <v>833.33333333333337</v>
      </c>
      <c r="K57" s="59">
        <f t="shared" si="122"/>
        <v>2500</v>
      </c>
      <c r="L57" s="57">
        <f t="shared" ref="L57:N57" si="143">10000/12</f>
        <v>833.33333333333337</v>
      </c>
      <c r="M57" s="57">
        <f t="shared" si="143"/>
        <v>833.33333333333337</v>
      </c>
      <c r="N57" s="57">
        <f t="shared" si="143"/>
        <v>833.33333333333337</v>
      </c>
      <c r="O57" s="59">
        <f t="shared" si="124"/>
        <v>2500</v>
      </c>
      <c r="P57" s="57">
        <f t="shared" ref="P57:R57" si="144">10000/12</f>
        <v>833.33333333333337</v>
      </c>
      <c r="Q57" s="57">
        <f t="shared" si="144"/>
        <v>833.33333333333337</v>
      </c>
      <c r="R57" s="57">
        <f t="shared" si="144"/>
        <v>833.33333333333337</v>
      </c>
      <c r="S57" s="59">
        <f t="shared" si="126"/>
        <v>2500</v>
      </c>
      <c r="T57" s="57">
        <f t="shared" ref="T57:V57" si="145">10000/12</f>
        <v>833.33333333333337</v>
      </c>
      <c r="U57" s="57">
        <f t="shared" si="145"/>
        <v>833.33333333333337</v>
      </c>
      <c r="V57" s="57">
        <f t="shared" si="145"/>
        <v>833.33333333333337</v>
      </c>
      <c r="W57" s="59">
        <f t="shared" si="128"/>
        <v>2500</v>
      </c>
      <c r="X57" s="75"/>
      <c r="Y57" s="74">
        <f t="shared" si="129"/>
        <v>10000</v>
      </c>
    </row>
    <row r="58" spans="1:25" ht="12">
      <c r="A58" s="40"/>
      <c r="B58" s="40" t="s">
        <v>49</v>
      </c>
      <c r="C58" s="39"/>
      <c r="D58" s="57">
        <v>5000</v>
      </c>
      <c r="E58" s="58"/>
      <c r="F58" s="58"/>
      <c r="G58" s="58"/>
      <c r="H58" s="57">
        <f>0</f>
        <v>0</v>
      </c>
      <c r="I58" s="57">
        <f>0</f>
        <v>0</v>
      </c>
      <c r="J58" s="57">
        <f>0</f>
        <v>0</v>
      </c>
      <c r="K58" s="59">
        <f t="shared" si="122"/>
        <v>0</v>
      </c>
      <c r="L58" s="57">
        <f>0</f>
        <v>0</v>
      </c>
      <c r="M58" s="57">
        <f>0</f>
        <v>0</v>
      </c>
      <c r="N58" s="57">
        <f>0</f>
        <v>0</v>
      </c>
      <c r="O58" s="59">
        <f t="shared" si="124"/>
        <v>0</v>
      </c>
      <c r="P58" s="57">
        <f>0</f>
        <v>0</v>
      </c>
      <c r="Q58" s="57">
        <f>0</f>
        <v>0</v>
      </c>
      <c r="R58" s="57">
        <f>0</f>
        <v>0</v>
      </c>
      <c r="S58" s="59">
        <f t="shared" si="126"/>
        <v>0</v>
      </c>
      <c r="T58" s="57">
        <f>0</f>
        <v>0</v>
      </c>
      <c r="U58" s="57">
        <f>0</f>
        <v>0</v>
      </c>
      <c r="V58" s="57">
        <f>0</f>
        <v>0</v>
      </c>
      <c r="W58" s="59">
        <f t="shared" si="128"/>
        <v>0</v>
      </c>
      <c r="X58" s="75"/>
      <c r="Y58" s="74">
        <f t="shared" si="129"/>
        <v>0</v>
      </c>
    </row>
    <row r="59" spans="1:25" ht="12">
      <c r="A59" s="40"/>
      <c r="B59" s="40" t="s">
        <v>50</v>
      </c>
      <c r="C59" s="39"/>
      <c r="D59" s="57">
        <v>0</v>
      </c>
      <c r="E59" s="58"/>
      <c r="F59" s="58"/>
      <c r="G59" s="58"/>
      <c r="H59" s="57">
        <f>137639/12</f>
        <v>11469.916666666666</v>
      </c>
      <c r="I59" s="57">
        <f t="shared" ref="I59:J59" si="146">137639/12</f>
        <v>11469.916666666666</v>
      </c>
      <c r="J59" s="57">
        <f t="shared" si="146"/>
        <v>11469.916666666666</v>
      </c>
      <c r="K59" s="59">
        <f t="shared" si="122"/>
        <v>34409.75</v>
      </c>
      <c r="L59" s="57">
        <f t="shared" ref="L59:N59" si="147">137639/12</f>
        <v>11469.916666666666</v>
      </c>
      <c r="M59" s="57">
        <f t="shared" si="147"/>
        <v>11469.916666666666</v>
      </c>
      <c r="N59" s="57">
        <f t="shared" si="147"/>
        <v>11469.916666666666</v>
      </c>
      <c r="O59" s="59">
        <f t="shared" si="124"/>
        <v>34409.75</v>
      </c>
      <c r="P59" s="57">
        <f t="shared" ref="P59:R59" si="148">137639/12</f>
        <v>11469.916666666666</v>
      </c>
      <c r="Q59" s="57">
        <f t="shared" si="148"/>
        <v>11469.916666666666</v>
      </c>
      <c r="R59" s="57">
        <f t="shared" si="148"/>
        <v>11469.916666666666</v>
      </c>
      <c r="S59" s="59">
        <f t="shared" si="126"/>
        <v>34409.75</v>
      </c>
      <c r="T59" s="57">
        <f t="shared" ref="T59:V59" si="149">137639/12</f>
        <v>11469.916666666666</v>
      </c>
      <c r="U59" s="57">
        <f t="shared" si="149"/>
        <v>11469.916666666666</v>
      </c>
      <c r="V59" s="57">
        <f t="shared" si="149"/>
        <v>11469.916666666666</v>
      </c>
      <c r="W59" s="59">
        <f t="shared" si="128"/>
        <v>34409.75</v>
      </c>
      <c r="X59" s="75"/>
      <c r="Y59" s="78">
        <f t="shared" si="129"/>
        <v>137639</v>
      </c>
    </row>
    <row r="60" spans="1:25" ht="12">
      <c r="A60" s="40"/>
      <c r="B60" s="48" t="s">
        <v>51</v>
      </c>
      <c r="C60" s="39"/>
      <c r="D60" s="49">
        <f>SUM(D53:D59)</f>
        <v>296010</v>
      </c>
      <c r="E60" s="50"/>
      <c r="F60" s="50"/>
      <c r="G60" s="50"/>
      <c r="H60" s="79">
        <f>SUM(H53:H59)</f>
        <v>34665.833333333336</v>
      </c>
      <c r="I60" s="79">
        <f t="shared" ref="I60:J60" si="150">SUM(I53:I59)</f>
        <v>34665.833333333336</v>
      </c>
      <c r="J60" s="79">
        <f t="shared" si="150"/>
        <v>34665.833333333336</v>
      </c>
      <c r="K60" s="79">
        <f t="shared" si="122"/>
        <v>103997.5</v>
      </c>
      <c r="L60" s="79">
        <f>SUM(L53:L59)</f>
        <v>34665.833333333336</v>
      </c>
      <c r="M60" s="79">
        <f t="shared" ref="M60:N60" si="151">SUM(M53:M59)</f>
        <v>34665.833333333336</v>
      </c>
      <c r="N60" s="79">
        <f t="shared" si="151"/>
        <v>34665.833333333336</v>
      </c>
      <c r="O60" s="79">
        <f t="shared" si="124"/>
        <v>103997.5</v>
      </c>
      <c r="P60" s="79">
        <f>SUM(P53:P59)</f>
        <v>34665.833333333336</v>
      </c>
      <c r="Q60" s="79">
        <f t="shared" ref="Q60:R60" si="152">SUM(Q53:Q59)</f>
        <v>34665.833333333336</v>
      </c>
      <c r="R60" s="79">
        <f t="shared" si="152"/>
        <v>34665.833333333336</v>
      </c>
      <c r="S60" s="79">
        <f t="shared" si="126"/>
        <v>103997.5</v>
      </c>
      <c r="T60" s="79">
        <f>SUM(T53:T59)</f>
        <v>34665.833333333336</v>
      </c>
      <c r="U60" s="79">
        <f t="shared" ref="U60:V60" si="153">SUM(U53:U59)</f>
        <v>34665.833333333336</v>
      </c>
      <c r="V60" s="79">
        <f t="shared" si="153"/>
        <v>34665.833333333336</v>
      </c>
      <c r="W60" s="79">
        <f t="shared" si="128"/>
        <v>103997.5</v>
      </c>
      <c r="X60" s="75"/>
      <c r="Y60" s="74">
        <f t="shared" si="129"/>
        <v>415990</v>
      </c>
    </row>
    <row r="61" spans="1:25" ht="12">
      <c r="A61" s="40"/>
      <c r="B61" s="45"/>
      <c r="C61" s="39"/>
      <c r="D61" s="53"/>
      <c r="E61" s="53"/>
      <c r="F61" s="53"/>
      <c r="G61" s="53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75"/>
    </row>
    <row r="62" spans="1:25" ht="12">
      <c r="A62" s="60" t="s">
        <v>52</v>
      </c>
      <c r="B62" s="40"/>
      <c r="C62" s="39"/>
      <c r="D62" s="59"/>
      <c r="E62" s="58"/>
      <c r="F62" s="58"/>
      <c r="G62" s="58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75"/>
    </row>
    <row r="63" spans="1:25" ht="12">
      <c r="A63" s="40"/>
      <c r="B63" s="40" t="s">
        <v>53</v>
      </c>
      <c r="C63" s="39"/>
      <c r="D63" s="57">
        <v>93461</v>
      </c>
      <c r="E63" s="58"/>
      <c r="F63" s="58"/>
      <c r="G63" s="58"/>
      <c r="H63" s="57">
        <f>53042/12</f>
        <v>4420.166666666667</v>
      </c>
      <c r="I63" s="57">
        <f t="shared" ref="I63:J63" si="154">53042/12</f>
        <v>4420.166666666667</v>
      </c>
      <c r="J63" s="57">
        <f t="shared" si="154"/>
        <v>4420.166666666667</v>
      </c>
      <c r="K63" s="59">
        <f t="shared" ref="K63:K70" si="155">SUM(H63:J63)</f>
        <v>13260.5</v>
      </c>
      <c r="L63" s="57">
        <f t="shared" ref="L63:N63" si="156">53042/12</f>
        <v>4420.166666666667</v>
      </c>
      <c r="M63" s="57">
        <f t="shared" si="156"/>
        <v>4420.166666666667</v>
      </c>
      <c r="N63" s="57">
        <f t="shared" si="156"/>
        <v>4420.166666666667</v>
      </c>
      <c r="O63" s="59">
        <f t="shared" ref="O63:O70" si="157">SUM(L63:N63)</f>
        <v>13260.5</v>
      </c>
      <c r="P63" s="57">
        <f t="shared" ref="P63:R63" si="158">53042/12</f>
        <v>4420.166666666667</v>
      </c>
      <c r="Q63" s="57">
        <f t="shared" si="158"/>
        <v>4420.166666666667</v>
      </c>
      <c r="R63" s="57">
        <f t="shared" si="158"/>
        <v>4420.166666666667</v>
      </c>
      <c r="S63" s="59">
        <f t="shared" ref="S63:S70" si="159">SUM(P63:R63)</f>
        <v>13260.5</v>
      </c>
      <c r="T63" s="57">
        <f t="shared" ref="T63:V63" si="160">53042/12</f>
        <v>4420.166666666667</v>
      </c>
      <c r="U63" s="57">
        <f t="shared" si="160"/>
        <v>4420.166666666667</v>
      </c>
      <c r="V63" s="57">
        <f t="shared" si="160"/>
        <v>4420.166666666667</v>
      </c>
      <c r="W63" s="59">
        <f t="shared" ref="W63:W70" si="161">SUM(T63:V63)</f>
        <v>13260.5</v>
      </c>
      <c r="X63" s="75"/>
      <c r="Y63" s="74">
        <f t="shared" ref="Y63:Y72" si="162">SUM(K63,O63,S63,W63)</f>
        <v>53042</v>
      </c>
    </row>
    <row r="64" spans="1:25" ht="12">
      <c r="A64" s="40"/>
      <c r="B64" s="40" t="s">
        <v>54</v>
      </c>
      <c r="C64" s="39"/>
      <c r="D64" s="57">
        <v>12000</v>
      </c>
      <c r="E64" s="58"/>
      <c r="F64" s="58"/>
      <c r="G64" s="58"/>
      <c r="H64" s="57">
        <f>13000/12</f>
        <v>1083.3333333333333</v>
      </c>
      <c r="I64" s="57">
        <f t="shared" ref="I64:J64" si="163">13000/12</f>
        <v>1083.3333333333333</v>
      </c>
      <c r="J64" s="57">
        <f t="shared" si="163"/>
        <v>1083.3333333333333</v>
      </c>
      <c r="K64" s="59">
        <f t="shared" si="155"/>
        <v>3250</v>
      </c>
      <c r="L64" s="57">
        <f t="shared" ref="L64:N64" si="164">13000/12</f>
        <v>1083.3333333333333</v>
      </c>
      <c r="M64" s="57">
        <f t="shared" si="164"/>
        <v>1083.3333333333333</v>
      </c>
      <c r="N64" s="57">
        <f t="shared" si="164"/>
        <v>1083.3333333333333</v>
      </c>
      <c r="O64" s="59">
        <f t="shared" si="157"/>
        <v>3250</v>
      </c>
      <c r="P64" s="57">
        <f t="shared" ref="P64:R64" si="165">13000/12</f>
        <v>1083.3333333333333</v>
      </c>
      <c r="Q64" s="57">
        <f t="shared" si="165"/>
        <v>1083.3333333333333</v>
      </c>
      <c r="R64" s="57">
        <f t="shared" si="165"/>
        <v>1083.3333333333333</v>
      </c>
      <c r="S64" s="59">
        <f t="shared" si="159"/>
        <v>3250</v>
      </c>
      <c r="T64" s="57">
        <f t="shared" ref="T64:V64" si="166">13000/12</f>
        <v>1083.3333333333333</v>
      </c>
      <c r="U64" s="57">
        <f t="shared" si="166"/>
        <v>1083.3333333333333</v>
      </c>
      <c r="V64" s="57">
        <f t="shared" si="166"/>
        <v>1083.3333333333333</v>
      </c>
      <c r="W64" s="59">
        <f t="shared" si="161"/>
        <v>3250</v>
      </c>
      <c r="X64" s="75"/>
      <c r="Y64" s="74">
        <f t="shared" si="162"/>
        <v>13000</v>
      </c>
    </row>
    <row r="65" spans="1:25" ht="12">
      <c r="A65" s="40"/>
      <c r="B65" s="40" t="s">
        <v>55</v>
      </c>
      <c r="C65" s="39"/>
      <c r="D65" s="57">
        <v>556525</v>
      </c>
      <c r="E65" s="58"/>
      <c r="F65" s="58"/>
      <c r="G65" s="58"/>
      <c r="H65" s="57">
        <f>669875/12</f>
        <v>55822.916666666664</v>
      </c>
      <c r="I65" s="57">
        <f t="shared" ref="I65:J65" si="167">669875/12</f>
        <v>55822.916666666664</v>
      </c>
      <c r="J65" s="57">
        <f t="shared" si="167"/>
        <v>55822.916666666664</v>
      </c>
      <c r="K65" s="59">
        <f t="shared" si="155"/>
        <v>167468.75</v>
      </c>
      <c r="L65" s="57">
        <f t="shared" ref="L65:N65" si="168">669875/12</f>
        <v>55822.916666666664</v>
      </c>
      <c r="M65" s="57">
        <f t="shared" si="168"/>
        <v>55822.916666666664</v>
      </c>
      <c r="N65" s="57">
        <f t="shared" si="168"/>
        <v>55822.916666666664</v>
      </c>
      <c r="O65" s="59">
        <f t="shared" si="157"/>
        <v>167468.75</v>
      </c>
      <c r="P65" s="57">
        <f t="shared" ref="P65:R65" si="169">669875/12</f>
        <v>55822.916666666664</v>
      </c>
      <c r="Q65" s="57">
        <f t="shared" si="169"/>
        <v>55822.916666666664</v>
      </c>
      <c r="R65" s="57">
        <f t="shared" si="169"/>
        <v>55822.916666666664</v>
      </c>
      <c r="S65" s="59">
        <f t="shared" si="159"/>
        <v>167468.75</v>
      </c>
      <c r="T65" s="57">
        <f t="shared" ref="T65:V65" si="170">669875/12</f>
        <v>55822.916666666664</v>
      </c>
      <c r="U65" s="57">
        <f t="shared" si="170"/>
        <v>55822.916666666664</v>
      </c>
      <c r="V65" s="57">
        <f t="shared" si="170"/>
        <v>55822.916666666664</v>
      </c>
      <c r="W65" s="59">
        <f t="shared" si="161"/>
        <v>167468.75</v>
      </c>
      <c r="X65" s="75"/>
      <c r="Y65" s="74">
        <f t="shared" si="162"/>
        <v>669875</v>
      </c>
    </row>
    <row r="66" spans="1:25" ht="12">
      <c r="A66" s="40"/>
      <c r="B66" s="40" t="s">
        <v>56</v>
      </c>
      <c r="C66" s="39"/>
      <c r="D66" s="57">
        <v>47951</v>
      </c>
      <c r="E66" s="58"/>
      <c r="F66" s="58"/>
      <c r="G66" s="58"/>
      <c r="H66" s="57">
        <f>128322/12</f>
        <v>10693.5</v>
      </c>
      <c r="I66" s="57">
        <f t="shared" ref="I66:J66" si="171">128322/12</f>
        <v>10693.5</v>
      </c>
      <c r="J66" s="57">
        <f t="shared" si="171"/>
        <v>10693.5</v>
      </c>
      <c r="K66" s="59">
        <f t="shared" si="155"/>
        <v>32080.5</v>
      </c>
      <c r="L66" s="57">
        <f t="shared" ref="L66:N66" si="172">128322/12</f>
        <v>10693.5</v>
      </c>
      <c r="M66" s="57">
        <f t="shared" si="172"/>
        <v>10693.5</v>
      </c>
      <c r="N66" s="57">
        <f t="shared" si="172"/>
        <v>10693.5</v>
      </c>
      <c r="O66" s="59">
        <f t="shared" si="157"/>
        <v>32080.5</v>
      </c>
      <c r="P66" s="57">
        <f t="shared" ref="P66:R66" si="173">128322/12</f>
        <v>10693.5</v>
      </c>
      <c r="Q66" s="57">
        <f t="shared" si="173"/>
        <v>10693.5</v>
      </c>
      <c r="R66" s="57">
        <f t="shared" si="173"/>
        <v>10693.5</v>
      </c>
      <c r="S66" s="59">
        <f t="shared" si="159"/>
        <v>32080.5</v>
      </c>
      <c r="T66" s="57">
        <f t="shared" ref="T66:V66" si="174">128322/12</f>
        <v>10693.5</v>
      </c>
      <c r="U66" s="57">
        <f t="shared" si="174"/>
        <v>10693.5</v>
      </c>
      <c r="V66" s="57">
        <f t="shared" si="174"/>
        <v>10693.5</v>
      </c>
      <c r="W66" s="59">
        <f t="shared" si="161"/>
        <v>32080.5</v>
      </c>
      <c r="X66" s="75"/>
      <c r="Y66" s="74">
        <f t="shared" si="162"/>
        <v>128322</v>
      </c>
    </row>
    <row r="67" spans="1:25" ht="12">
      <c r="A67" s="40"/>
      <c r="B67" s="40" t="s">
        <v>57</v>
      </c>
      <c r="C67" s="39"/>
      <c r="D67" s="57">
        <v>2253917</v>
      </c>
      <c r="E67" s="58"/>
      <c r="F67" s="58"/>
      <c r="G67" s="58"/>
      <c r="H67" s="57">
        <f>1070813/12</f>
        <v>89234.416666666672</v>
      </c>
      <c r="I67" s="57">
        <f t="shared" ref="I67:J67" si="175">1070813/12</f>
        <v>89234.416666666672</v>
      </c>
      <c r="J67" s="57">
        <f t="shared" si="175"/>
        <v>89234.416666666672</v>
      </c>
      <c r="K67" s="59">
        <f t="shared" si="155"/>
        <v>267703.25</v>
      </c>
      <c r="L67" s="57">
        <f t="shared" ref="L67:N67" si="176">1070813/12</f>
        <v>89234.416666666672</v>
      </c>
      <c r="M67" s="57">
        <f t="shared" si="176"/>
        <v>89234.416666666672</v>
      </c>
      <c r="N67" s="57">
        <f t="shared" si="176"/>
        <v>89234.416666666672</v>
      </c>
      <c r="O67" s="59">
        <f t="shared" si="157"/>
        <v>267703.25</v>
      </c>
      <c r="P67" s="57">
        <f t="shared" ref="P67:R67" si="177">1070813/12</f>
        <v>89234.416666666672</v>
      </c>
      <c r="Q67" s="57">
        <f t="shared" si="177"/>
        <v>89234.416666666672</v>
      </c>
      <c r="R67" s="57">
        <f t="shared" si="177"/>
        <v>89234.416666666672</v>
      </c>
      <c r="S67" s="59">
        <f t="shared" si="159"/>
        <v>267703.25</v>
      </c>
      <c r="T67" s="57">
        <f t="shared" ref="T67:V67" si="178">1070813/12</f>
        <v>89234.416666666672</v>
      </c>
      <c r="U67" s="57">
        <f t="shared" si="178"/>
        <v>89234.416666666672</v>
      </c>
      <c r="V67" s="57">
        <f t="shared" si="178"/>
        <v>89234.416666666672</v>
      </c>
      <c r="W67" s="59">
        <f t="shared" si="161"/>
        <v>267703.25</v>
      </c>
      <c r="X67" s="75"/>
      <c r="Y67" s="74">
        <f t="shared" si="162"/>
        <v>1070813</v>
      </c>
    </row>
    <row r="68" spans="1:25" ht="12">
      <c r="A68" s="40"/>
      <c r="B68" s="40" t="s">
        <v>64</v>
      </c>
      <c r="C68" s="39"/>
      <c r="D68" s="57"/>
      <c r="E68" s="58"/>
      <c r="F68" s="58"/>
      <c r="G68" s="58"/>
      <c r="H68" s="57">
        <v>0</v>
      </c>
      <c r="I68" s="57">
        <v>0</v>
      </c>
      <c r="J68" s="57">
        <v>0</v>
      </c>
      <c r="K68" s="59"/>
      <c r="L68" s="57">
        <v>0</v>
      </c>
      <c r="M68" s="57">
        <v>0</v>
      </c>
      <c r="N68" s="57">
        <v>0</v>
      </c>
      <c r="O68" s="59"/>
      <c r="P68" s="57">
        <v>0</v>
      </c>
      <c r="Q68" s="57">
        <v>0</v>
      </c>
      <c r="R68" s="57">
        <v>0</v>
      </c>
      <c r="S68" s="59"/>
      <c r="T68" s="57">
        <v>0</v>
      </c>
      <c r="U68" s="57">
        <v>0</v>
      </c>
      <c r="V68" s="57">
        <v>0</v>
      </c>
      <c r="W68" s="59"/>
      <c r="X68" s="75"/>
      <c r="Y68" s="74">
        <f t="shared" si="162"/>
        <v>0</v>
      </c>
    </row>
    <row r="69" spans="1:25" ht="12">
      <c r="A69" s="40"/>
      <c r="B69" s="40" t="s">
        <v>58</v>
      </c>
      <c r="C69" s="39"/>
      <c r="D69" s="57">
        <f>109258+23533</f>
        <v>132791</v>
      </c>
      <c r="E69" s="58"/>
      <c r="F69" s="58"/>
      <c r="G69" s="58"/>
      <c r="H69" s="57">
        <f>82150/12</f>
        <v>6845.833333333333</v>
      </c>
      <c r="I69" s="57">
        <f t="shared" ref="I69:J69" si="179">82150/12</f>
        <v>6845.833333333333</v>
      </c>
      <c r="J69" s="57">
        <f t="shared" si="179"/>
        <v>6845.833333333333</v>
      </c>
      <c r="K69" s="59">
        <f t="shared" si="155"/>
        <v>20537.5</v>
      </c>
      <c r="L69" s="57">
        <f t="shared" ref="L69:N69" si="180">82150/12</f>
        <v>6845.833333333333</v>
      </c>
      <c r="M69" s="57">
        <f t="shared" si="180"/>
        <v>6845.833333333333</v>
      </c>
      <c r="N69" s="57">
        <f t="shared" si="180"/>
        <v>6845.833333333333</v>
      </c>
      <c r="O69" s="59">
        <f t="shared" si="157"/>
        <v>20537.5</v>
      </c>
      <c r="P69" s="57">
        <f t="shared" ref="P69:R69" si="181">82150/12</f>
        <v>6845.833333333333</v>
      </c>
      <c r="Q69" s="57">
        <f t="shared" si="181"/>
        <v>6845.833333333333</v>
      </c>
      <c r="R69" s="57">
        <f t="shared" si="181"/>
        <v>6845.833333333333</v>
      </c>
      <c r="S69" s="59">
        <f t="shared" si="159"/>
        <v>20537.5</v>
      </c>
      <c r="T69" s="57">
        <f t="shared" ref="T69:V69" si="182">82150/12</f>
        <v>6845.833333333333</v>
      </c>
      <c r="U69" s="57">
        <f t="shared" si="182"/>
        <v>6845.833333333333</v>
      </c>
      <c r="V69" s="57">
        <f t="shared" si="182"/>
        <v>6845.833333333333</v>
      </c>
      <c r="W69" s="59">
        <f t="shared" si="161"/>
        <v>20537.5</v>
      </c>
      <c r="X69" s="75"/>
      <c r="Y69" s="78">
        <f t="shared" si="162"/>
        <v>82150</v>
      </c>
    </row>
    <row r="70" spans="1:25" ht="12">
      <c r="A70" s="40"/>
      <c r="B70" s="61" t="s">
        <v>59</v>
      </c>
      <c r="C70" s="39"/>
      <c r="D70" s="62">
        <f>SUM(D63:D69)</f>
        <v>3096645</v>
      </c>
      <c r="E70" s="50"/>
      <c r="F70" s="50"/>
      <c r="G70" s="50"/>
      <c r="H70" s="82">
        <f>SUM(H63:H69)</f>
        <v>168100.16666666666</v>
      </c>
      <c r="I70" s="82">
        <f>SUM(I63:I69)</f>
        <v>168100.16666666666</v>
      </c>
      <c r="J70" s="82">
        <f>SUM(J63:J69)</f>
        <v>168100.16666666666</v>
      </c>
      <c r="K70" s="82">
        <f t="shared" si="155"/>
        <v>504300.5</v>
      </c>
      <c r="L70" s="82">
        <f>SUM(L63:L69)</f>
        <v>168100.16666666666</v>
      </c>
      <c r="M70" s="82">
        <f>SUM(M63:M69)</f>
        <v>168100.16666666666</v>
      </c>
      <c r="N70" s="82">
        <f>SUM(N63:N69)</f>
        <v>168100.16666666666</v>
      </c>
      <c r="O70" s="82">
        <f t="shared" si="157"/>
        <v>504300.5</v>
      </c>
      <c r="P70" s="82">
        <f>SUM(P63:P69)</f>
        <v>168100.16666666666</v>
      </c>
      <c r="Q70" s="82">
        <f>SUM(Q63:Q69)</f>
        <v>168100.16666666666</v>
      </c>
      <c r="R70" s="82">
        <f>SUM(R63:R69)</f>
        <v>168100.16666666666</v>
      </c>
      <c r="S70" s="82">
        <f t="shared" si="159"/>
        <v>504300.5</v>
      </c>
      <c r="T70" s="82">
        <f>SUM(T63:T69)</f>
        <v>168100.16666666666</v>
      </c>
      <c r="U70" s="82">
        <f>SUM(U63:U69)</f>
        <v>168100.16666666666</v>
      </c>
      <c r="V70" s="82">
        <f>SUM(V63:V69)</f>
        <v>168100.16666666666</v>
      </c>
      <c r="W70" s="82">
        <f t="shared" si="161"/>
        <v>504300.5</v>
      </c>
      <c r="X70" s="75"/>
      <c r="Y70" s="78">
        <f t="shared" si="162"/>
        <v>2017202</v>
      </c>
    </row>
    <row r="71" spans="1:25" ht="12">
      <c r="A71" s="40"/>
      <c r="B71" s="48" t="s">
        <v>60</v>
      </c>
      <c r="C71" s="39"/>
      <c r="D71" s="49">
        <f>D70+D60+D50+D42+D33</f>
        <v>10886674</v>
      </c>
      <c r="E71" s="50"/>
      <c r="F71" s="50"/>
      <c r="G71" s="50"/>
      <c r="H71" s="79">
        <f t="shared" ref="H71:W71" si="183">H70+H60+H50+H42+H33</f>
        <v>981749.58333333326</v>
      </c>
      <c r="I71" s="79">
        <f t="shared" si="183"/>
        <v>981749.58333333326</v>
      </c>
      <c r="J71" s="79">
        <f t="shared" si="183"/>
        <v>981749.58333333326</v>
      </c>
      <c r="K71" s="79">
        <f t="shared" si="183"/>
        <v>2945248.75</v>
      </c>
      <c r="L71" s="79">
        <f t="shared" si="183"/>
        <v>981749.58333333326</v>
      </c>
      <c r="M71" s="79">
        <f t="shared" si="183"/>
        <v>981749.58333333326</v>
      </c>
      <c r="N71" s="79">
        <f t="shared" si="183"/>
        <v>981749.58333333326</v>
      </c>
      <c r="O71" s="79">
        <f t="shared" si="183"/>
        <v>2945248.75</v>
      </c>
      <c r="P71" s="79">
        <f t="shared" si="183"/>
        <v>981749.58333333326</v>
      </c>
      <c r="Q71" s="79">
        <f t="shared" si="183"/>
        <v>981749.58333333326</v>
      </c>
      <c r="R71" s="79">
        <f t="shared" si="183"/>
        <v>981749.58333333326</v>
      </c>
      <c r="S71" s="79">
        <f t="shared" si="183"/>
        <v>2945248.75</v>
      </c>
      <c r="T71" s="79">
        <f t="shared" si="183"/>
        <v>981749.58333333326</v>
      </c>
      <c r="U71" s="79">
        <f t="shared" si="183"/>
        <v>981749.58333333326</v>
      </c>
      <c r="V71" s="79">
        <f t="shared" si="183"/>
        <v>981747.58333333326</v>
      </c>
      <c r="W71" s="83">
        <f t="shared" si="183"/>
        <v>2945246.75</v>
      </c>
      <c r="X71" s="75"/>
      <c r="Y71" s="78">
        <f t="shared" si="162"/>
        <v>11780993</v>
      </c>
    </row>
    <row r="72" spans="1:25" ht="12.75" customHeight="1">
      <c r="A72" s="51" t="s">
        <v>61</v>
      </c>
      <c r="B72" s="48"/>
      <c r="C72" s="39"/>
      <c r="D72" s="49">
        <f>D15-D71</f>
        <v>39100</v>
      </c>
      <c r="E72" s="50"/>
      <c r="F72" s="50"/>
      <c r="G72" s="50"/>
      <c r="H72" s="79">
        <f t="shared" ref="H72:W72" si="184">H15-H71</f>
        <v>9440.1666666667443</v>
      </c>
      <c r="I72" s="79">
        <f t="shared" si="184"/>
        <v>9440.1666666667443</v>
      </c>
      <c r="J72" s="79">
        <f t="shared" si="184"/>
        <v>9440.1666666667443</v>
      </c>
      <c r="K72" s="79">
        <f t="shared" si="184"/>
        <v>28320.5</v>
      </c>
      <c r="L72" s="79">
        <f t="shared" si="184"/>
        <v>9440.1666666667443</v>
      </c>
      <c r="M72" s="79">
        <f t="shared" si="184"/>
        <v>9440.1666666667443</v>
      </c>
      <c r="N72" s="79">
        <f t="shared" si="184"/>
        <v>9440.1666666667443</v>
      </c>
      <c r="O72" s="79">
        <f t="shared" si="184"/>
        <v>28320.5</v>
      </c>
      <c r="P72" s="79">
        <f t="shared" si="184"/>
        <v>9440.1666666667443</v>
      </c>
      <c r="Q72" s="79">
        <f t="shared" si="184"/>
        <v>9440.1666666667443</v>
      </c>
      <c r="R72" s="79">
        <f t="shared" si="184"/>
        <v>9440.1666666667443</v>
      </c>
      <c r="S72" s="79">
        <f t="shared" si="184"/>
        <v>28320.5</v>
      </c>
      <c r="T72" s="79">
        <f t="shared" si="184"/>
        <v>9440.1666666667443</v>
      </c>
      <c r="U72" s="79">
        <f t="shared" si="184"/>
        <v>9440.1666666667443</v>
      </c>
      <c r="V72" s="79">
        <f t="shared" si="184"/>
        <v>9442.1666666667443</v>
      </c>
      <c r="W72" s="79">
        <f t="shared" si="184"/>
        <v>28322.5</v>
      </c>
      <c r="X72" s="75"/>
      <c r="Y72" s="74">
        <f t="shared" si="162"/>
        <v>113284</v>
      </c>
    </row>
    <row r="73" spans="1:25" ht="12.75" customHeight="1">
      <c r="A73" s="51"/>
      <c r="B73" s="45"/>
      <c r="C73" s="39"/>
      <c r="D73" s="63"/>
      <c r="E73" s="50"/>
      <c r="F73" s="50"/>
      <c r="G73" s="50"/>
      <c r="H73" s="84"/>
      <c r="I73" s="84"/>
      <c r="J73" s="84"/>
      <c r="K73" s="81"/>
      <c r="L73" s="84"/>
      <c r="M73" s="84"/>
      <c r="N73" s="84"/>
      <c r="O73" s="81"/>
      <c r="P73" s="84"/>
      <c r="Q73" s="84"/>
      <c r="R73" s="84"/>
      <c r="S73" s="81"/>
      <c r="T73" s="84"/>
      <c r="U73" s="84"/>
      <c r="V73" s="84"/>
      <c r="W73" s="81"/>
      <c r="X73" s="75"/>
    </row>
    <row r="74" spans="1:25" ht="12.75" customHeight="1">
      <c r="A74" s="40"/>
      <c r="B74" s="40" t="s">
        <v>62</v>
      </c>
      <c r="C74" s="39"/>
      <c r="D74" s="57">
        <v>14100</v>
      </c>
      <c r="E74" s="58"/>
      <c r="F74" s="58"/>
      <c r="G74" s="58"/>
      <c r="H74" s="57">
        <f>88284/12</f>
        <v>7357</v>
      </c>
      <c r="I74" s="57">
        <f t="shared" ref="I74:J74" si="185">88284/12</f>
        <v>7357</v>
      </c>
      <c r="J74" s="57">
        <f t="shared" si="185"/>
        <v>7357</v>
      </c>
      <c r="K74" s="59">
        <f t="shared" ref="K74" si="186">SUM(H74:J74)</f>
        <v>22071</v>
      </c>
      <c r="L74" s="57">
        <f t="shared" ref="L74:N74" si="187">88284/12</f>
        <v>7357</v>
      </c>
      <c r="M74" s="57">
        <f t="shared" si="187"/>
        <v>7357</v>
      </c>
      <c r="N74" s="57">
        <f t="shared" si="187"/>
        <v>7357</v>
      </c>
      <c r="O74" s="59">
        <f t="shared" ref="O74" si="188">SUM(L74:N74)</f>
        <v>22071</v>
      </c>
      <c r="P74" s="57">
        <f t="shared" ref="P74:R74" si="189">88284/12</f>
        <v>7357</v>
      </c>
      <c r="Q74" s="57">
        <f t="shared" si="189"/>
        <v>7357</v>
      </c>
      <c r="R74" s="57">
        <f t="shared" si="189"/>
        <v>7357</v>
      </c>
      <c r="S74" s="59">
        <f t="shared" ref="S74" si="190">SUM(P74:R74)</f>
        <v>22071</v>
      </c>
      <c r="T74" s="57">
        <f t="shared" ref="T74:V74" si="191">88284/12</f>
        <v>7357</v>
      </c>
      <c r="U74" s="57">
        <f t="shared" si="191"/>
        <v>7357</v>
      </c>
      <c r="V74" s="57">
        <f t="shared" si="191"/>
        <v>7357</v>
      </c>
      <c r="W74" s="59">
        <f t="shared" ref="W74" si="192">SUM(T74:V74)</f>
        <v>22071</v>
      </c>
      <c r="X74" s="75"/>
      <c r="Y74" s="78">
        <f t="shared" ref="Y74:Y75" si="193">SUM(K74,O74,S74,W74)</f>
        <v>88284</v>
      </c>
    </row>
    <row r="75" spans="1:25" ht="12">
      <c r="A75" s="51" t="s">
        <v>63</v>
      </c>
      <c r="B75" s="48"/>
      <c r="C75" s="39"/>
      <c r="D75" s="69">
        <f>D72-D74</f>
        <v>25000</v>
      </c>
      <c r="E75" s="70"/>
      <c r="F75" s="70"/>
      <c r="G75" s="70"/>
      <c r="H75" s="79">
        <f t="shared" ref="H75:W75" si="194">H72-H74</f>
        <v>2083.1666666667443</v>
      </c>
      <c r="I75" s="79">
        <f t="shared" si="194"/>
        <v>2083.1666666667443</v>
      </c>
      <c r="J75" s="79">
        <f t="shared" si="194"/>
        <v>2083.1666666667443</v>
      </c>
      <c r="K75" s="79">
        <f t="shared" si="194"/>
        <v>6249.5</v>
      </c>
      <c r="L75" s="79">
        <f t="shared" si="194"/>
        <v>2083.1666666667443</v>
      </c>
      <c r="M75" s="79">
        <f t="shared" si="194"/>
        <v>2083.1666666667443</v>
      </c>
      <c r="N75" s="79">
        <f t="shared" si="194"/>
        <v>2083.1666666667443</v>
      </c>
      <c r="O75" s="79">
        <f t="shared" si="194"/>
        <v>6249.5</v>
      </c>
      <c r="P75" s="79">
        <f t="shared" si="194"/>
        <v>2083.1666666667443</v>
      </c>
      <c r="Q75" s="79">
        <f t="shared" si="194"/>
        <v>2083.1666666667443</v>
      </c>
      <c r="R75" s="79">
        <f t="shared" si="194"/>
        <v>2083.1666666667443</v>
      </c>
      <c r="S75" s="79">
        <f t="shared" si="194"/>
        <v>6249.5</v>
      </c>
      <c r="T75" s="79">
        <f t="shared" si="194"/>
        <v>2083.1666666667443</v>
      </c>
      <c r="U75" s="79">
        <f t="shared" si="194"/>
        <v>2083.1666666667443</v>
      </c>
      <c r="V75" s="79">
        <f t="shared" si="194"/>
        <v>2085.1666666667443</v>
      </c>
      <c r="W75" s="79">
        <f t="shared" si="194"/>
        <v>6251.5</v>
      </c>
      <c r="X75" s="75"/>
      <c r="Y75" s="74">
        <f t="shared" si="193"/>
        <v>25000</v>
      </c>
    </row>
  </sheetData>
  <pageMargins left="0.75" right="0.35" top="0.5" bottom="0.5" header="0.5" footer="0.5"/>
  <pageSetup scale="36" orientation="portrait" horizontalDpi="300" verticalDpi="300"/>
  <headerFooter alignWithMargins="0">
    <oddHeader xml:space="preserve">&amp;C&amp;"Arial,Bold"&amp;11
</oddHeader>
    <oddFooter>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B13" sqref="B13"/>
    </sheetView>
  </sheetViews>
  <sheetFormatPr baseColWidth="10" defaultColWidth="8.83203125" defaultRowHeight="14" x14ac:dyDescent="0"/>
  <cols>
    <col min="1" max="1" width="16.1640625" bestFit="1" customWidth="1"/>
  </cols>
  <sheetData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Enrollment</vt:lpstr>
      <vt:lpstr>Annual Budget</vt:lpstr>
      <vt:lpstr>References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PCSB</dc:creator>
  <cp:lastModifiedBy>Ben Feit</cp:lastModifiedBy>
  <cp:lastPrinted>2015-03-10T20:29:00Z</cp:lastPrinted>
  <dcterms:created xsi:type="dcterms:W3CDTF">2015-03-09T19:17:40Z</dcterms:created>
  <dcterms:modified xsi:type="dcterms:W3CDTF">2016-05-30T22:57:40Z</dcterms:modified>
</cp:coreProperties>
</file>