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detail" sheetId="1" r:id="rId1"/>
    <sheet name="summary" sheetId="2" r:id="rId2"/>
    <sheet name="Sheet3" sheetId="3" r:id="rId3"/>
  </sheets>
  <externalReferences>
    <externalReference r:id="rId4"/>
  </externalReferences>
  <definedNames>
    <definedName name="_xlnm.Print_Area" localSheetId="0">detail!$B:$AD</definedName>
    <definedName name="_xlnm.Print_Area" localSheetId="1">summary!$A:$E</definedName>
  </definedNames>
  <calcPr calcId="145621"/>
</workbook>
</file>

<file path=xl/calcChain.xml><?xml version="1.0" encoding="utf-8"?>
<calcChain xmlns="http://schemas.openxmlformats.org/spreadsheetml/2006/main">
  <c r="B33" i="2" l="1"/>
  <c r="D33" i="2" s="1"/>
  <c r="B23" i="2"/>
  <c r="B22" i="2"/>
  <c r="D22" i="2" s="1"/>
  <c r="AD103" i="1"/>
  <c r="D13" i="2"/>
  <c r="B11" i="2"/>
  <c r="D11" i="2" s="1"/>
  <c r="B10" i="2"/>
  <c r="E25" i="2"/>
  <c r="C25" i="2"/>
  <c r="D23" i="2"/>
  <c r="E18" i="2"/>
  <c r="E29" i="2" s="1"/>
  <c r="E36" i="2" s="1"/>
  <c r="C18" i="2"/>
  <c r="C29" i="2" s="1"/>
  <c r="C36" i="2" s="1"/>
  <c r="D16" i="2"/>
  <c r="D14" i="2"/>
  <c r="AD117" i="1"/>
  <c r="AE108" i="1"/>
  <c r="AD108" i="1"/>
  <c r="AD101" i="1"/>
  <c r="AE99" i="1"/>
  <c r="AF99" i="1" s="1"/>
  <c r="AB99" i="1"/>
  <c r="Z99" i="1"/>
  <c r="X99" i="1"/>
  <c r="V99" i="1"/>
  <c r="T99" i="1"/>
  <c r="R99" i="1"/>
  <c r="P99" i="1"/>
  <c r="N99" i="1"/>
  <c r="L99" i="1"/>
  <c r="J99" i="1"/>
  <c r="H99" i="1"/>
  <c r="F99" i="1"/>
  <c r="D99" i="1"/>
  <c r="AE98" i="1"/>
  <c r="AF98" i="1" s="1"/>
  <c r="AB98" i="1"/>
  <c r="Z98" i="1"/>
  <c r="X98" i="1"/>
  <c r="V98" i="1"/>
  <c r="T98" i="1"/>
  <c r="R98" i="1"/>
  <c r="P98" i="1"/>
  <c r="N98" i="1"/>
  <c r="L98" i="1"/>
  <c r="J98" i="1"/>
  <c r="H98" i="1"/>
  <c r="F98" i="1"/>
  <c r="D98" i="1"/>
  <c r="AE97" i="1"/>
  <c r="AB97" i="1"/>
  <c r="AB101" i="1" s="1"/>
  <c r="Z97" i="1"/>
  <c r="Z101" i="1" s="1"/>
  <c r="X97" i="1"/>
  <c r="X101" i="1" s="1"/>
  <c r="V97" i="1"/>
  <c r="V101" i="1" s="1"/>
  <c r="T97" i="1"/>
  <c r="T101" i="1" s="1"/>
  <c r="R97" i="1"/>
  <c r="R101" i="1" s="1"/>
  <c r="P97" i="1"/>
  <c r="P101" i="1" s="1"/>
  <c r="N97" i="1"/>
  <c r="N101" i="1" s="1"/>
  <c r="L97" i="1"/>
  <c r="L101" i="1" s="1"/>
  <c r="J97" i="1"/>
  <c r="J101" i="1" s="1"/>
  <c r="H97" i="1"/>
  <c r="H101" i="1" s="1"/>
  <c r="F97" i="1"/>
  <c r="F101" i="1" s="1"/>
  <c r="D97" i="1"/>
  <c r="D101" i="1" s="1"/>
  <c r="AD94" i="1"/>
  <c r="AE92" i="1"/>
  <c r="AF92" i="1" s="1"/>
  <c r="L92" i="1"/>
  <c r="AE91" i="1"/>
  <c r="AF91" i="1" s="1"/>
  <c r="AE90" i="1"/>
  <c r="AF90" i="1" s="1"/>
  <c r="D90" i="1"/>
  <c r="AE89" i="1"/>
  <c r="AF89" i="1" s="1"/>
  <c r="AB89" i="1"/>
  <c r="Z89" i="1"/>
  <c r="X89" i="1"/>
  <c r="V89" i="1"/>
  <c r="T89" i="1"/>
  <c r="R89" i="1"/>
  <c r="P89" i="1"/>
  <c r="N89" i="1"/>
  <c r="L89" i="1"/>
  <c r="J89" i="1"/>
  <c r="H89" i="1"/>
  <c r="F89" i="1"/>
  <c r="D89" i="1"/>
  <c r="AE88" i="1"/>
  <c r="AF88" i="1" s="1"/>
  <c r="Z88" i="1"/>
  <c r="T88" i="1"/>
  <c r="P88" i="1"/>
  <c r="H88" i="1"/>
  <c r="F88" i="1"/>
  <c r="D88" i="1"/>
  <c r="AE87" i="1"/>
  <c r="AF87" i="1" s="1"/>
  <c r="AB87" i="1"/>
  <c r="X87" i="1"/>
  <c r="V87" i="1"/>
  <c r="L87" i="1"/>
  <c r="J87" i="1"/>
  <c r="H87" i="1"/>
  <c r="F87" i="1"/>
  <c r="D87" i="1"/>
  <c r="AE86" i="1"/>
  <c r="AF86" i="1" s="1"/>
  <c r="F86" i="1"/>
  <c r="D86" i="1"/>
  <c r="AE85" i="1"/>
  <c r="AF85" i="1" s="1"/>
  <c r="X85" i="1"/>
  <c r="V85" i="1"/>
  <c r="T85" i="1"/>
  <c r="R85" i="1"/>
  <c r="P85" i="1"/>
  <c r="N85" i="1"/>
  <c r="L85" i="1"/>
  <c r="J85" i="1"/>
  <c r="H85" i="1"/>
  <c r="F85" i="1"/>
  <c r="D85" i="1"/>
  <c r="AE84" i="1"/>
  <c r="AF84" i="1" s="1"/>
  <c r="H84" i="1"/>
  <c r="F84" i="1"/>
  <c r="D84" i="1"/>
  <c r="AE83" i="1"/>
  <c r="AF83" i="1" s="1"/>
  <c r="AB83" i="1"/>
  <c r="AB94" i="1" s="1"/>
  <c r="Z83" i="1"/>
  <c r="Z94" i="1" s="1"/>
  <c r="X83" i="1"/>
  <c r="X94" i="1" s="1"/>
  <c r="V83" i="1"/>
  <c r="V94" i="1" s="1"/>
  <c r="T83" i="1"/>
  <c r="T94" i="1" s="1"/>
  <c r="R83" i="1"/>
  <c r="R94" i="1" s="1"/>
  <c r="P83" i="1"/>
  <c r="P94" i="1" s="1"/>
  <c r="N83" i="1"/>
  <c r="N94" i="1" s="1"/>
  <c r="L83" i="1"/>
  <c r="L94" i="1" s="1"/>
  <c r="J83" i="1"/>
  <c r="J94" i="1" s="1"/>
  <c r="H83" i="1"/>
  <c r="H94" i="1" s="1"/>
  <c r="F83" i="1"/>
  <c r="F94" i="1" s="1"/>
  <c r="D83" i="1"/>
  <c r="D94" i="1" s="1"/>
  <c r="AB79" i="1"/>
  <c r="AB118" i="1" s="1"/>
  <c r="Z79" i="1"/>
  <c r="Z118" i="1" s="1"/>
  <c r="V79" i="1"/>
  <c r="V118" i="1" s="1"/>
  <c r="T79" i="1"/>
  <c r="T118" i="1" s="1"/>
  <c r="P79" i="1"/>
  <c r="P118" i="1" s="1"/>
  <c r="N79" i="1"/>
  <c r="N118" i="1" s="1"/>
  <c r="J79" i="1"/>
  <c r="J118" i="1" s="1"/>
  <c r="H79" i="1"/>
  <c r="H118" i="1" s="1"/>
  <c r="F79" i="1"/>
  <c r="F118" i="1" s="1"/>
  <c r="D79" i="1"/>
  <c r="D118" i="1" s="1"/>
  <c r="AE76" i="1"/>
  <c r="AD76" i="1"/>
  <c r="AD75" i="1"/>
  <c r="AE74" i="1"/>
  <c r="AD74" i="1"/>
  <c r="AF74" i="1" s="1"/>
  <c r="AE73" i="1"/>
  <c r="AD73" i="1"/>
  <c r="AD72" i="1"/>
  <c r="AE71" i="1"/>
  <c r="AD71" i="1"/>
  <c r="AE70" i="1"/>
  <c r="L70" i="1"/>
  <c r="AD70" i="1" s="1"/>
  <c r="AE69" i="1"/>
  <c r="AD69" i="1"/>
  <c r="AE68" i="1"/>
  <c r="AD68" i="1"/>
  <c r="AE67" i="1"/>
  <c r="AD67" i="1"/>
  <c r="AE66" i="1"/>
  <c r="AD66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7" i="1"/>
  <c r="AD57" i="1"/>
  <c r="AE56" i="1"/>
  <c r="AD56" i="1"/>
  <c r="AE55" i="1"/>
  <c r="AD55" i="1"/>
  <c r="AD54" i="1"/>
  <c r="AF54" i="1" s="1"/>
  <c r="AE53" i="1"/>
  <c r="AD53" i="1"/>
  <c r="AE52" i="1"/>
  <c r="AD52" i="1"/>
  <c r="AE51" i="1"/>
  <c r="AD51" i="1"/>
  <c r="AF51" i="1" s="1"/>
  <c r="AE50" i="1"/>
  <c r="X50" i="1"/>
  <c r="AD50" i="1" s="1"/>
  <c r="AF49" i="1"/>
  <c r="AD48" i="1"/>
  <c r="AF48" i="1" s="1"/>
  <c r="AD47" i="1"/>
  <c r="AE46" i="1"/>
  <c r="AD46" i="1"/>
  <c r="AF45" i="1"/>
  <c r="AE44" i="1"/>
  <c r="AD44" i="1"/>
  <c r="AE43" i="1"/>
  <c r="AD43" i="1"/>
  <c r="AE42" i="1"/>
  <c r="R42" i="1"/>
  <c r="R79" i="1" s="1"/>
  <c r="R118" i="1" s="1"/>
  <c r="R120" i="1" s="1"/>
  <c r="AE41" i="1"/>
  <c r="AD41" i="1"/>
  <c r="AE40" i="1"/>
  <c r="AD40" i="1"/>
  <c r="AF39" i="1"/>
  <c r="AE38" i="1"/>
  <c r="AD38" i="1"/>
  <c r="AE37" i="1"/>
  <c r="AD37" i="1"/>
  <c r="AE36" i="1"/>
  <c r="AD36" i="1"/>
  <c r="AE35" i="1"/>
  <c r="AD35" i="1"/>
  <c r="AE34" i="1"/>
  <c r="AD34" i="1"/>
  <c r="AF33" i="1"/>
  <c r="AE32" i="1"/>
  <c r="AD32" i="1"/>
  <c r="AE31" i="1"/>
  <c r="AD31" i="1"/>
  <c r="AE30" i="1"/>
  <c r="AD30" i="1"/>
  <c r="AF30" i="1" s="1"/>
  <c r="AE29" i="1"/>
  <c r="L29" i="1"/>
  <c r="AE28" i="1"/>
  <c r="AD28" i="1"/>
  <c r="AF28" i="1" s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N16" i="1"/>
  <c r="AE14" i="1"/>
  <c r="AD14" i="1"/>
  <c r="D15" i="2" s="1"/>
  <c r="AE13" i="1"/>
  <c r="AF13" i="1" s="1"/>
  <c r="AE12" i="1"/>
  <c r="AF12" i="1" s="1"/>
  <c r="AE11" i="1"/>
  <c r="AD11" i="1"/>
  <c r="B12" i="2" s="1"/>
  <c r="D12" i="2" s="1"/>
  <c r="AE10" i="1"/>
  <c r="AF10" i="1" s="1"/>
  <c r="AE9" i="1"/>
  <c r="B25" i="2" l="1"/>
  <c r="D25" i="2" s="1"/>
  <c r="AF63" i="1"/>
  <c r="AF67" i="1"/>
  <c r="D103" i="1"/>
  <c r="D105" i="1" s="1"/>
  <c r="L103" i="1"/>
  <c r="AF108" i="1"/>
  <c r="AF43" i="1"/>
  <c r="AF46" i="1"/>
  <c r="AF56" i="1"/>
  <c r="AF58" i="1"/>
  <c r="AF60" i="1"/>
  <c r="AF65" i="1"/>
  <c r="AF69" i="1"/>
  <c r="AF31" i="1"/>
  <c r="AF40" i="1"/>
  <c r="AF44" i="1"/>
  <c r="B18" i="2"/>
  <c r="B29" i="2" s="1"/>
  <c r="J120" i="1"/>
  <c r="J119" i="1"/>
  <c r="AE79" i="1"/>
  <c r="AF11" i="1"/>
  <c r="AF52" i="1"/>
  <c r="AE101" i="1"/>
  <c r="AF53" i="1"/>
  <c r="AF32" i="1"/>
  <c r="AF41" i="1"/>
  <c r="T103" i="1"/>
  <c r="T105" i="1" s="1"/>
  <c r="AB103" i="1"/>
  <c r="AB105" i="1" s="1"/>
  <c r="D10" i="2"/>
  <c r="AB120" i="1"/>
  <c r="AB119" i="1"/>
  <c r="Z119" i="1"/>
  <c r="Z120" i="1"/>
  <c r="AE16" i="1"/>
  <c r="R119" i="1"/>
  <c r="AF62" i="1"/>
  <c r="AF64" i="1"/>
  <c r="AF66" i="1"/>
  <c r="AF68" i="1"/>
  <c r="AF55" i="1"/>
  <c r="AF57" i="1"/>
  <c r="AF59" i="1"/>
  <c r="AF73" i="1"/>
  <c r="H103" i="1"/>
  <c r="H105" i="1" s="1"/>
  <c r="P103" i="1"/>
  <c r="P105" i="1" s="1"/>
  <c r="X103" i="1"/>
  <c r="N103" i="1"/>
  <c r="N105" i="1" s="1"/>
  <c r="H119" i="1"/>
  <c r="H120" i="1"/>
  <c r="P119" i="1"/>
  <c r="P120" i="1"/>
  <c r="AD16" i="1"/>
  <c r="AF14" i="1"/>
  <c r="AF20" i="1"/>
  <c r="AF24" i="1"/>
  <c r="AF26" i="1"/>
  <c r="AD29" i="1"/>
  <c r="L79" i="1"/>
  <c r="L118" i="1" s="1"/>
  <c r="AD118" i="1" s="1"/>
  <c r="AF37" i="1"/>
  <c r="AF70" i="1"/>
  <c r="F119" i="1"/>
  <c r="F120" i="1"/>
  <c r="AF50" i="1"/>
  <c r="AF72" i="1"/>
  <c r="T120" i="1"/>
  <c r="T119" i="1"/>
  <c r="J103" i="1"/>
  <c r="J105" i="1" s="1"/>
  <c r="R103" i="1"/>
  <c r="R105" i="1" s="1"/>
  <c r="Z103" i="1"/>
  <c r="Z105" i="1" s="1"/>
  <c r="AE94" i="1"/>
  <c r="AF19" i="1"/>
  <c r="AF21" i="1"/>
  <c r="AF23" i="1"/>
  <c r="AF25" i="1"/>
  <c r="AF27" i="1"/>
  <c r="AF34" i="1"/>
  <c r="AF36" i="1"/>
  <c r="AF38" i="1"/>
  <c r="AF47" i="1"/>
  <c r="AF71" i="1"/>
  <c r="V119" i="1"/>
  <c r="V120" i="1"/>
  <c r="F103" i="1"/>
  <c r="F105" i="1" s="1"/>
  <c r="V103" i="1"/>
  <c r="V105" i="1" s="1"/>
  <c r="AF22" i="1"/>
  <c r="AF35" i="1"/>
  <c r="AF61" i="1"/>
  <c r="AF76" i="1"/>
  <c r="D120" i="1"/>
  <c r="D119" i="1"/>
  <c r="N119" i="1"/>
  <c r="N120" i="1"/>
  <c r="X79" i="1"/>
  <c r="AF9" i="1"/>
  <c r="AD42" i="1"/>
  <c r="AF97" i="1"/>
  <c r="AF101" i="1" s="1"/>
  <c r="AD79" i="1" l="1"/>
  <c r="AF79" i="1" s="1"/>
  <c r="D18" i="2"/>
  <c r="X105" i="1"/>
  <c r="AE103" i="1"/>
  <c r="AE105" i="1" s="1"/>
  <c r="AE110" i="1" s="1"/>
  <c r="AE112" i="1" s="1"/>
  <c r="B36" i="2"/>
  <c r="D36" i="2" s="1"/>
  <c r="D29" i="2"/>
  <c r="AD120" i="1"/>
  <c r="AD119" i="1"/>
  <c r="AF94" i="1"/>
  <c r="AF103" i="1" s="1"/>
  <c r="AF42" i="1"/>
  <c r="L120" i="1"/>
  <c r="L119" i="1"/>
  <c r="AF29" i="1"/>
  <c r="AF16" i="1"/>
  <c r="L105" i="1"/>
  <c r="AD105" i="1" l="1"/>
  <c r="AF105" i="1"/>
  <c r="AF110" i="1" s="1"/>
  <c r="AD110" i="1"/>
  <c r="AF112" i="1"/>
  <c r="AD112" i="1" l="1"/>
</calcChain>
</file>

<file path=xl/comments1.xml><?xml version="1.0" encoding="utf-8"?>
<comments xmlns="http://schemas.openxmlformats.org/spreadsheetml/2006/main">
  <authors>
    <author>Carmen Johnson</author>
    <author>Windows User</author>
    <author>tposey</author>
  </authors>
  <commentList>
    <comment ref="N23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placeholder for Raffa or other consultants if needed reduced $2080 from 14/15</t>
        </r>
      </text>
    </comment>
    <comment ref="H28" authorId="1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$20,500 experiential 
$40,000 general activities</t>
        </r>
      </text>
    </comment>
    <comment ref="Z28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purchases from prior year restricted funds and $250 for ambassador related items</t>
        </r>
      </text>
    </comment>
    <comment ref="F37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$38,000 for food service 
$1100 for the shuttle</t>
        </r>
      </text>
    </comment>
    <comment ref="V38" authorId="0">
      <text>
        <r>
          <rPr>
            <b/>
            <sz val="9"/>
            <color indexed="81"/>
            <rFont val="Tahoma"/>
            <charset val="1"/>
          </rPr>
          <t>Carmen Johnson:</t>
        </r>
        <r>
          <rPr>
            <sz val="9"/>
            <color indexed="81"/>
            <rFont val="Tahoma"/>
            <charset val="1"/>
          </rPr>
          <t xml:space="preserve">
130,000 SPED General
3000 Interim Placement</t>
        </r>
      </text>
    </comment>
    <comment ref="R43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was 140,000 for 2014/15 reduced $75 for Mike in 2015/16
</t>
        </r>
      </text>
    </comment>
    <comment ref="X50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junior to senior breakfast - 625
Graduation - 10,000
Thanksgiving Dinner - 13,000
Founders' Day including chairs - 5000
Christmas party - 6000
Senior brunch - 6500
Parents' Appreciation - 6000
Athletic Banquet - 1500
Staff Appreciation - 3500
Misc Events - 7500
Prom - 2500
</t>
        </r>
      </text>
    </comment>
    <comment ref="L56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8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Restorative justice </t>
        </r>
      </text>
    </comment>
    <comment ref="N66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3% increase to cover audit, 990, 5500, etc. 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up 2% over last year</t>
        </r>
      </text>
    </comment>
    <comment ref="AE74" authorId="2">
      <text>
        <r>
          <rPr>
            <b/>
            <sz val="8"/>
            <color indexed="81"/>
            <rFont val="Tahoma"/>
            <family val="2"/>
          </rPr>
          <t>tposey:</t>
        </r>
        <r>
          <rPr>
            <sz val="8"/>
            <color indexed="81"/>
            <rFont val="Tahoma"/>
            <family val="2"/>
          </rPr>
          <t xml:space="preserve">
Scholarships
</t>
        </r>
      </text>
    </comment>
    <comment ref="AE76" authorId="2">
      <text>
        <r>
          <rPr>
            <b/>
            <sz val="8"/>
            <color indexed="81"/>
            <rFont val="Tahoma"/>
            <family val="2"/>
          </rPr>
          <t>tposey:</t>
        </r>
        <r>
          <rPr>
            <sz val="8"/>
            <color indexed="81"/>
            <rFont val="Tahoma"/>
            <family val="2"/>
          </rPr>
          <t xml:space="preserve">
Conferences
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Carmen Johnson:</t>
        </r>
        <r>
          <rPr>
            <sz val="9"/>
            <color indexed="81"/>
            <rFont val="Tahoma"/>
            <family val="2"/>
          </rPr>
          <t xml:space="preserve">
evening receptionist</t>
        </r>
      </text>
    </comment>
  </commentList>
</comments>
</file>

<file path=xl/sharedStrings.xml><?xml version="1.0" encoding="utf-8"?>
<sst xmlns="http://schemas.openxmlformats.org/spreadsheetml/2006/main" count="155" uniqueCount="143">
  <si>
    <t>FY2015/2016 Consolidated Budget</t>
  </si>
  <si>
    <t xml:space="preserve">Enrollment </t>
  </si>
  <si>
    <t xml:space="preserve">Head of </t>
  </si>
  <si>
    <t>Student Life</t>
  </si>
  <si>
    <t>and External</t>
  </si>
  <si>
    <t>Campus</t>
  </si>
  <si>
    <t xml:space="preserve">Human </t>
  </si>
  <si>
    <t>Student</t>
  </si>
  <si>
    <t>School</t>
  </si>
  <si>
    <t>College &amp;</t>
  </si>
  <si>
    <t>TOTAL</t>
  </si>
  <si>
    <t>June 30, 2013</t>
  </si>
  <si>
    <t>Variance</t>
  </si>
  <si>
    <t>Notes</t>
  </si>
  <si>
    <t>Year-End</t>
  </si>
  <si>
    <t>Academics</t>
  </si>
  <si>
    <t>Boarding</t>
  </si>
  <si>
    <t>Relations</t>
  </si>
  <si>
    <t>Operations</t>
  </si>
  <si>
    <t>Finance</t>
  </si>
  <si>
    <t>Resources</t>
  </si>
  <si>
    <t>Technology</t>
  </si>
  <si>
    <t>Athletics</t>
  </si>
  <si>
    <t>Support Svcs</t>
  </si>
  <si>
    <t>Culture</t>
  </si>
  <si>
    <t>Development</t>
  </si>
  <si>
    <t>Career Svcs</t>
  </si>
  <si>
    <t>FY2016 Budget</t>
  </si>
  <si>
    <t>Projections</t>
  </si>
  <si>
    <t>Per Pupil Revenue</t>
  </si>
  <si>
    <t>340 Students and 2% increase</t>
  </si>
  <si>
    <t>Public Funds</t>
  </si>
  <si>
    <t>Grants and Contributions</t>
  </si>
  <si>
    <t>Interest Income</t>
  </si>
  <si>
    <t>Other Income</t>
  </si>
  <si>
    <t>Medicaid reimbursements, store sales, other</t>
  </si>
  <si>
    <t>Market Fluctuation</t>
  </si>
  <si>
    <t>TOTAL INCOME</t>
  </si>
  <si>
    <t>Office Supplies</t>
  </si>
  <si>
    <t>Instructional Supplies/Materials</t>
  </si>
  <si>
    <t>Reduction due to exhausted all carryover cost and reduction in federal programs</t>
  </si>
  <si>
    <t>Catering - incl box lunch f/ trips</t>
  </si>
  <si>
    <t>Staff Catering</t>
  </si>
  <si>
    <t xml:space="preserve">Consultants/Temporary </t>
  </si>
  <si>
    <t>Postage</t>
  </si>
  <si>
    <t>Printing</t>
  </si>
  <si>
    <t>Incentive Awards</t>
  </si>
  <si>
    <t>Recruiting</t>
  </si>
  <si>
    <t>Student Activities</t>
  </si>
  <si>
    <t>Reduction due to exhausted all carryover cost and target funding for selected student activities</t>
  </si>
  <si>
    <t>Transportation (including field trips)</t>
  </si>
  <si>
    <t>Sponsorship/Grants Management</t>
  </si>
  <si>
    <t>Contingency (Hd of School only)</t>
  </si>
  <si>
    <t>Discretionary (Hd of School only)</t>
  </si>
  <si>
    <t>Textbooks</t>
  </si>
  <si>
    <t>Field Trips - excl transpo &amp; food</t>
  </si>
  <si>
    <t>Student Testing/Evaluation</t>
  </si>
  <si>
    <t>Restricted Ottaway grant $47,420 FY2013</t>
  </si>
  <si>
    <t>Summer School</t>
  </si>
  <si>
    <t>Special Education</t>
  </si>
  <si>
    <t>Advertising / Events</t>
  </si>
  <si>
    <t>Clothing</t>
  </si>
  <si>
    <t>Internet Connections/Cable TV Service</t>
  </si>
  <si>
    <t>Technology Maintenance</t>
  </si>
  <si>
    <t>Tech Software and Supplies</t>
  </si>
  <si>
    <t>Athletic Equipment</t>
  </si>
  <si>
    <t>No federal grant this year</t>
  </si>
  <si>
    <t>Athletic League and Org'n Fees</t>
  </si>
  <si>
    <t>Athletic Clothing</t>
  </si>
  <si>
    <t>Graduation/Senior Banquet/Other Events</t>
  </si>
  <si>
    <t>College visits/tours</t>
  </si>
  <si>
    <t>Musical/Drama</t>
  </si>
  <si>
    <t>Library Supplies - including books</t>
  </si>
  <si>
    <t>Student Government/Orientation</t>
  </si>
  <si>
    <t>Cleaning Services</t>
  </si>
  <si>
    <t>Security Services</t>
  </si>
  <si>
    <t>Facilities - Contracted Services</t>
  </si>
  <si>
    <t>Facilities - Buildings</t>
  </si>
  <si>
    <t>Facilities - Grounds</t>
  </si>
  <si>
    <t>Facilities - F/E</t>
  </si>
  <si>
    <t>Equipment Service Repairs</t>
  </si>
  <si>
    <t>Equipment Leasing</t>
  </si>
  <si>
    <t>Insurance</t>
  </si>
  <si>
    <t>Interest Expense</t>
  </si>
  <si>
    <t>Legal Services</t>
  </si>
  <si>
    <t>Audit and Bank Fees</t>
  </si>
  <si>
    <t>SEED Foundation Fee</t>
  </si>
  <si>
    <t>Charter School Fee</t>
  </si>
  <si>
    <t>Facilities - Utilities</t>
  </si>
  <si>
    <t>Telephone -Land Line/Cell</t>
  </si>
  <si>
    <t>Land Lease</t>
  </si>
  <si>
    <t>Student Orientation</t>
  </si>
  <si>
    <t>Health/Medical</t>
  </si>
  <si>
    <t>Scholarships</t>
  </si>
  <si>
    <t>Student Expenses - Other</t>
  </si>
  <si>
    <t>Conferences</t>
  </si>
  <si>
    <t>Total Supplies and Services</t>
  </si>
  <si>
    <t>Personnel</t>
  </si>
  <si>
    <t>Salaries</t>
  </si>
  <si>
    <t>Summer School Stipends/Other</t>
  </si>
  <si>
    <t>Stipends</t>
  </si>
  <si>
    <t>Bonus</t>
  </si>
  <si>
    <t>Substitutes/Part-time Staff</t>
  </si>
  <si>
    <t>Dues/Membership</t>
  </si>
  <si>
    <t>Staff Development</t>
  </si>
  <si>
    <t>Some reduction based on federal grants and strategically planning nearby training and development</t>
  </si>
  <si>
    <t>Tuition Reimbursement</t>
  </si>
  <si>
    <t>Temporary Help</t>
  </si>
  <si>
    <t>Campus Ops and HoS Assistance Vacancies</t>
  </si>
  <si>
    <t>Student workers</t>
  </si>
  <si>
    <t>Subtotal</t>
  </si>
  <si>
    <t>Other Benefits</t>
  </si>
  <si>
    <t>Fica Tax - (~8%)</t>
  </si>
  <si>
    <t>SUI</t>
  </si>
  <si>
    <t>5-----</t>
  </si>
  <si>
    <t xml:space="preserve">Employee Benefits </t>
  </si>
  <si>
    <t>Total Personnel Costs</t>
  </si>
  <si>
    <t>TOTAL EXPENSES before D&amp;A</t>
  </si>
  <si>
    <t>PPRRSM</t>
  </si>
  <si>
    <t>Depreciation &amp; Amoritization Expense</t>
  </si>
  <si>
    <t>TOTAL EXPENSES after D&amp;A</t>
  </si>
  <si>
    <t>Net Income/(Loss) after D&amp;A</t>
  </si>
  <si>
    <t>FY2014 Budget S&amp;S</t>
  </si>
  <si>
    <t>FY2015 Budget S&amp;S</t>
  </si>
  <si>
    <t>SEED DC</t>
  </si>
  <si>
    <t>Budget FY2015/2016</t>
  </si>
  <si>
    <t>Summary Comparisons</t>
  </si>
  <si>
    <t>Proposed</t>
  </si>
  <si>
    <t>Budget</t>
  </si>
  <si>
    <t>Projection</t>
  </si>
  <si>
    <t>FY2016</t>
  </si>
  <si>
    <t>FY2015</t>
  </si>
  <si>
    <t>Per Pupil Allocations</t>
  </si>
  <si>
    <t>Investment Income, Greek Classics</t>
  </si>
  <si>
    <t>In-Kind Donation</t>
  </si>
  <si>
    <t>Total Operating Revenue</t>
  </si>
  <si>
    <t>Total Personnel</t>
  </si>
  <si>
    <t>Total Operating Expenses</t>
  </si>
  <si>
    <t xml:space="preserve"> Increase (Decrease) in Net Assets before</t>
  </si>
  <si>
    <t xml:space="preserve">    PPRRSM/Depreciation/Amortization</t>
  </si>
  <si>
    <t>Depreciation and Amortization</t>
  </si>
  <si>
    <t xml:space="preserve"> Increase (Decrease) in Net Assets</t>
  </si>
  <si>
    <t xml:space="preserve">Supplies and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</si>
</sst>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0" fillId="0" borderId="0" xfId="0" applyFill="1" applyAlignment="1">
      <alignment vertical="top"/>
    </xf>
    <xf numFmtId="4" fontId="3" fillId="0" borderId="0" xfId="3" applyNumberFormat="1" applyFont="1" applyFill="1" applyAlignment="1">
      <alignment horizontal="left"/>
    </xf>
    <xf numFmtId="4" fontId="3" fillId="0" borderId="0" xfId="3" applyNumberFormat="1" applyFont="1" applyFill="1" applyAlignment="1">
      <alignment horizontal="center"/>
    </xf>
    <xf numFmtId="43" fontId="2" fillId="0" borderId="0" xfId="1" applyFont="1" applyFill="1"/>
    <xf numFmtId="40" fontId="0" fillId="0" borderId="0" xfId="0" applyNumberFormat="1" applyFill="1" applyAlignment="1">
      <alignment vertical="top"/>
    </xf>
    <xf numFmtId="0" fontId="2" fillId="0" borderId="0" xfId="3" applyNumberFormat="1" applyFill="1" applyAlignment="1">
      <alignment horizontal="center"/>
    </xf>
    <xf numFmtId="4" fontId="2" fillId="0" borderId="0" xfId="3" applyNumberFormat="1" applyFill="1"/>
    <xf numFmtId="40" fontId="2" fillId="0" borderId="0" xfId="3" applyNumberFormat="1" applyFill="1"/>
    <xf numFmtId="4" fontId="5" fillId="0" borderId="0" xfId="3" applyNumberFormat="1" applyFont="1" applyFill="1" applyAlignment="1">
      <alignment horizontal="center"/>
    </xf>
    <xf numFmtId="40" fontId="5" fillId="0" borderId="0" xfId="3" applyNumberFormat="1" applyFont="1" applyFill="1" applyAlignment="1">
      <alignment horizontal="center"/>
    </xf>
    <xf numFmtId="4" fontId="2" fillId="0" borderId="0" xfId="3" applyNumberFormat="1" applyFill="1" applyAlignment="1">
      <alignment horizontal="center"/>
    </xf>
    <xf numFmtId="15" fontId="6" fillId="0" borderId="0" xfId="1" quotePrefix="1" applyNumberFormat="1" applyFont="1" applyFill="1" applyAlignment="1">
      <alignment horizontal="center"/>
    </xf>
    <xf numFmtId="40" fontId="0" fillId="0" borderId="0" xfId="0" applyNumberFormat="1" applyFill="1" applyAlignment="1">
      <alignment horizontal="center" vertical="top"/>
    </xf>
    <xf numFmtId="4" fontId="5" fillId="0" borderId="1" xfId="3" applyNumberFormat="1" applyFont="1" applyFill="1" applyBorder="1" applyAlignment="1">
      <alignment horizontal="center"/>
    </xf>
    <xf numFmtId="40" fontId="5" fillId="0" borderId="1" xfId="3" applyNumberFormat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4" fontId="6" fillId="0" borderId="0" xfId="3" applyNumberFormat="1" applyFont="1" applyFill="1"/>
    <xf numFmtId="4" fontId="2" fillId="0" borderId="0" xfId="3" applyNumberFormat="1" applyFont="1" applyFill="1" applyAlignment="1">
      <alignment horizontal="left"/>
    </xf>
    <xf numFmtId="38" fontId="2" fillId="0" borderId="0" xfId="3" applyNumberFormat="1" applyFont="1" applyFill="1" applyBorder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38" fontId="2" fillId="0" borderId="0" xfId="3" applyNumberFormat="1" applyFill="1"/>
    <xf numFmtId="0" fontId="6" fillId="0" borderId="0" xfId="3" applyNumberFormat="1" applyFont="1" applyFill="1" applyAlignment="1">
      <alignment horizontal="center"/>
    </xf>
    <xf numFmtId="4" fontId="6" fillId="0" borderId="0" xfId="3" applyNumberFormat="1" applyFont="1" applyFill="1" applyAlignment="1">
      <alignment horizontal="left"/>
    </xf>
    <xf numFmtId="4" fontId="6" fillId="0" borderId="2" xfId="3" applyNumberFormat="1" applyFont="1" applyFill="1" applyBorder="1"/>
    <xf numFmtId="38" fontId="6" fillId="0" borderId="2" xfId="3" applyNumberFormat="1" applyFont="1" applyFill="1" applyBorder="1" applyAlignment="1">
      <alignment horizontal="right"/>
    </xf>
    <xf numFmtId="38" fontId="6" fillId="0" borderId="2" xfId="3" applyNumberFormat="1" applyFont="1" applyFill="1" applyBorder="1"/>
    <xf numFmtId="40" fontId="6" fillId="0" borderId="2" xfId="3" applyNumberFormat="1" applyFont="1" applyFill="1" applyBorder="1"/>
    <xf numFmtId="40" fontId="0" fillId="0" borderId="2" xfId="0" applyNumberFormat="1" applyFill="1" applyBorder="1" applyAlignment="1">
      <alignment vertical="top"/>
    </xf>
    <xf numFmtId="0" fontId="0" fillId="0" borderId="2" xfId="0" applyFill="1" applyBorder="1" applyAlignment="1">
      <alignment vertical="top"/>
    </xf>
    <xf numFmtId="4" fontId="7" fillId="0" borderId="0" xfId="3" applyNumberFormat="1" applyFont="1" applyFill="1"/>
    <xf numFmtId="38" fontId="2" fillId="0" borderId="0" xfId="3" applyNumberFormat="1" applyFont="1" applyFill="1" applyAlignment="1">
      <alignment horizontal="right"/>
    </xf>
    <xf numFmtId="38" fontId="2" fillId="0" borderId="0" xfId="3" applyNumberFormat="1" applyFill="1" applyAlignment="1">
      <alignment horizontal="right"/>
    </xf>
    <xf numFmtId="38" fontId="2" fillId="0" borderId="0" xfId="3" applyNumberFormat="1" applyFont="1" applyFill="1"/>
    <xf numFmtId="4" fontId="5" fillId="0" borderId="0" xfId="3" applyNumberFormat="1" applyFont="1" applyFill="1"/>
    <xf numFmtId="38" fontId="2" fillId="0" borderId="0" xfId="3" applyNumberFormat="1" applyFill="1" applyBorder="1"/>
    <xf numFmtId="38" fontId="2" fillId="0" borderId="0" xfId="3" applyNumberFormat="1" applyFont="1" applyFill="1" applyBorder="1"/>
    <xf numFmtId="4" fontId="2" fillId="0" borderId="0" xfId="3" applyNumberFormat="1" applyFont="1" applyFill="1"/>
    <xf numFmtId="38" fontId="6" fillId="0" borderId="0" xfId="3" applyNumberFormat="1" applyFont="1" applyFill="1"/>
    <xf numFmtId="43" fontId="6" fillId="0" borderId="0" xfId="1" applyFont="1" applyFill="1"/>
    <xf numFmtId="0" fontId="2" fillId="0" borderId="0" xfId="3" applyNumberFormat="1" applyFill="1" applyBorder="1" applyAlignment="1">
      <alignment horizontal="center"/>
    </xf>
    <xf numFmtId="4" fontId="6" fillId="0" borderId="0" xfId="3" applyNumberFormat="1" applyFont="1" applyFill="1" applyBorder="1"/>
    <xf numFmtId="4" fontId="2" fillId="0" borderId="0" xfId="3" applyNumberFormat="1" applyFill="1" applyBorder="1"/>
    <xf numFmtId="43" fontId="2" fillId="0" borderId="0" xfId="1" applyFont="1" applyFill="1" applyBorder="1"/>
    <xf numFmtId="0" fontId="0" fillId="0" borderId="0" xfId="0" applyFill="1" applyBorder="1" applyAlignment="1">
      <alignment vertical="top"/>
    </xf>
    <xf numFmtId="43" fontId="6" fillId="0" borderId="2" xfId="1" applyFont="1" applyFill="1" applyBorder="1"/>
    <xf numFmtId="43" fontId="0" fillId="0" borderId="0" xfId="1" applyFont="1" applyFill="1" applyAlignment="1">
      <alignment vertical="top"/>
    </xf>
    <xf numFmtId="43" fontId="0" fillId="0" borderId="1" xfId="1" applyFont="1" applyFill="1" applyBorder="1" applyAlignment="1">
      <alignment vertical="top"/>
    </xf>
    <xf numFmtId="40" fontId="0" fillId="0" borderId="1" xfId="0" applyNumberFormat="1" applyFill="1" applyBorder="1" applyAlignment="1">
      <alignment vertical="top"/>
    </xf>
    <xf numFmtId="4" fontId="2" fillId="0" borderId="1" xfId="3" applyNumberFormat="1" applyFill="1" applyBorder="1"/>
    <xf numFmtId="38" fontId="2" fillId="0" borderId="1" xfId="3" applyNumberFormat="1" applyFill="1" applyBorder="1"/>
    <xf numFmtId="4" fontId="6" fillId="0" borderId="0" xfId="3" applyNumberFormat="1" applyFont="1" applyFill="1" applyAlignment="1">
      <alignment horizontal="right"/>
    </xf>
    <xf numFmtId="0" fontId="8" fillId="0" borderId="0" xfId="0" applyFont="1" applyFill="1" applyAlignment="1">
      <alignment vertical="top"/>
    </xf>
    <xf numFmtId="40" fontId="8" fillId="0" borderId="0" xfId="0" applyNumberFormat="1" applyFont="1" applyFill="1" applyAlignment="1">
      <alignment vertical="top"/>
    </xf>
    <xf numFmtId="38" fontId="0" fillId="0" borderId="0" xfId="0" applyNumberFormat="1" applyFill="1" applyAlignment="1">
      <alignment vertical="top"/>
    </xf>
    <xf numFmtId="43" fontId="0" fillId="0" borderId="0" xfId="1" applyFont="1" applyFill="1" applyBorder="1" applyAlignment="1">
      <alignment vertical="top"/>
    </xf>
    <xf numFmtId="40" fontId="0" fillId="0" borderId="0" xfId="0" applyNumberFormat="1" applyFill="1" applyBorder="1" applyAlignment="1">
      <alignment vertical="top"/>
    </xf>
    <xf numFmtId="0" fontId="2" fillId="0" borderId="0" xfId="3" applyNumberFormat="1" applyFont="1" applyFill="1" applyAlignment="1">
      <alignment horizontal="center"/>
    </xf>
    <xf numFmtId="0" fontId="0" fillId="0" borderId="1" xfId="0" applyFill="1" applyBorder="1" applyAlignment="1">
      <alignment vertical="top"/>
    </xf>
    <xf numFmtId="38" fontId="6" fillId="0" borderId="0" xfId="3" applyNumberFormat="1" applyFont="1" applyFill="1" applyBorder="1"/>
    <xf numFmtId="43" fontId="6" fillId="0" borderId="0" xfId="1" applyFont="1" applyFill="1" applyBorder="1"/>
    <xf numFmtId="4" fontId="6" fillId="0" borderId="3" xfId="3" applyNumberFormat="1" applyFont="1" applyFill="1" applyBorder="1"/>
    <xf numFmtId="38" fontId="6" fillId="0" borderId="3" xfId="3" applyNumberFormat="1" applyFont="1" applyFill="1" applyBorder="1"/>
    <xf numFmtId="43" fontId="6" fillId="0" borderId="3" xfId="1" applyFont="1" applyFill="1" applyBorder="1"/>
    <xf numFmtId="38" fontId="9" fillId="0" borderId="0" xfId="3" applyNumberFormat="1" applyFont="1" applyFill="1"/>
    <xf numFmtId="40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38" fontId="6" fillId="0" borderId="1" xfId="3" applyNumberFormat="1" applyFont="1" applyFill="1" applyBorder="1"/>
    <xf numFmtId="43" fontId="2" fillId="0" borderId="1" xfId="1" applyFont="1" applyFill="1" applyBorder="1"/>
    <xf numFmtId="40" fontId="4" fillId="0" borderId="1" xfId="0" applyNumberFormat="1" applyFont="1" applyFill="1" applyBorder="1" applyAlignment="1">
      <alignment vertical="top"/>
    </xf>
    <xf numFmtId="4" fontId="6" fillId="0" borderId="0" xfId="3" applyNumberFormat="1" applyFont="1" applyFill="1" applyAlignment="1">
      <alignment wrapText="1"/>
    </xf>
    <xf numFmtId="4" fontId="2" fillId="0" borderId="4" xfId="3" applyNumberFormat="1" applyFill="1" applyBorder="1"/>
    <xf numFmtId="38" fontId="2" fillId="0" borderId="4" xfId="3" applyNumberFormat="1" applyFill="1" applyBorder="1"/>
    <xf numFmtId="38" fontId="6" fillId="0" borderId="4" xfId="3" applyNumberFormat="1" applyFont="1" applyFill="1" applyBorder="1"/>
    <xf numFmtId="40" fontId="6" fillId="0" borderId="4" xfId="3" applyNumberFormat="1" applyFont="1" applyFill="1" applyBorder="1"/>
    <xf numFmtId="38" fontId="6" fillId="0" borderId="0" xfId="3" applyNumberFormat="1" applyFont="1" applyFill="1" applyAlignment="1">
      <alignment horizontal="right"/>
    </xf>
    <xf numFmtId="40" fontId="6" fillId="0" borderId="0" xfId="3" applyNumberFormat="1" applyFont="1" applyFill="1" applyAlignment="1">
      <alignment horizontal="right"/>
    </xf>
    <xf numFmtId="38" fontId="2" fillId="0" borderId="3" xfId="3" applyNumberFormat="1" applyFill="1" applyBorder="1"/>
    <xf numFmtId="164" fontId="6" fillId="0" borderId="0" xfId="2" applyNumberFormat="1" applyFont="1" applyFill="1" applyAlignment="1"/>
    <xf numFmtId="40" fontId="5" fillId="0" borderId="0" xfId="3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center"/>
    </xf>
    <xf numFmtId="43" fontId="6" fillId="0" borderId="0" xfId="1" applyFont="1" applyFill="1" applyAlignment="1"/>
    <xf numFmtId="0" fontId="8" fillId="0" borderId="0" xfId="0" applyFont="1" applyAlignment="1">
      <alignment vertical="top"/>
    </xf>
    <xf numFmtId="40" fontId="0" fillId="0" borderId="0" xfId="1" applyNumberFormat="1" applyFont="1" applyBorder="1" applyAlignment="1">
      <alignment vertical="top"/>
    </xf>
    <xf numFmtId="40" fontId="0" fillId="0" borderId="0" xfId="1" applyNumberFormat="1" applyFont="1" applyFill="1" applyBorder="1" applyAlignment="1">
      <alignment vertical="top"/>
    </xf>
    <xf numFmtId="40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40" fontId="8" fillId="0" borderId="0" xfId="1" applyNumberFormat="1" applyFont="1" applyBorder="1" applyAlignment="1">
      <alignment horizontal="center" vertical="top"/>
    </xf>
    <xf numFmtId="40" fontId="8" fillId="0" borderId="0" xfId="1" applyNumberFormat="1" applyFont="1" applyFill="1" applyBorder="1" applyAlignment="1">
      <alignment horizontal="center" vertical="top"/>
    </xf>
    <xf numFmtId="40" fontId="4" fillId="0" borderId="0" xfId="1" applyNumberFormat="1" applyFont="1" applyBorder="1" applyAlignment="1">
      <alignment vertical="top"/>
    </xf>
    <xf numFmtId="40" fontId="8" fillId="0" borderId="5" xfId="1" applyNumberFormat="1" applyFont="1" applyBorder="1" applyAlignment="1">
      <alignment horizontal="center" vertical="top"/>
    </xf>
    <xf numFmtId="40" fontId="8" fillId="0" borderId="5" xfId="1" applyNumberFormat="1" applyFont="1" applyFill="1" applyBorder="1" applyAlignment="1">
      <alignment horizontal="center" vertical="top"/>
    </xf>
    <xf numFmtId="38" fontId="0" fillId="0" borderId="0" xfId="1" applyNumberFormat="1" applyFont="1" applyBorder="1" applyAlignment="1">
      <alignment vertical="top"/>
    </xf>
    <xf numFmtId="38" fontId="0" fillId="0" borderId="0" xfId="1" applyNumberFormat="1" applyFont="1" applyFill="1" applyBorder="1" applyAlignment="1">
      <alignment vertical="top"/>
    </xf>
    <xf numFmtId="38" fontId="0" fillId="0" borderId="2" xfId="1" applyNumberFormat="1" applyFont="1" applyBorder="1" applyAlignment="1">
      <alignment vertical="top"/>
    </xf>
    <xf numFmtId="38" fontId="0" fillId="0" borderId="2" xfId="1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38" fontId="4" fillId="0" borderId="0" xfId="1" applyNumberFormat="1" applyFont="1" applyFill="1" applyBorder="1" applyAlignment="1">
      <alignment horizontal="right" vertical="top"/>
    </xf>
    <xf numFmtId="38" fontId="8" fillId="0" borderId="0" xfId="1" applyNumberFormat="1" applyFont="1" applyBorder="1" applyAlignment="1">
      <alignment vertical="top"/>
    </xf>
  </cellXfs>
  <cellStyles count="4">
    <cellStyle name="Comma" xfId="1" builtinId="3"/>
    <cellStyle name="Normal" xfId="0" builtinId="0"/>
    <cellStyle name="Normal_Proposed FY09 Detail Consolidating Budget 2008 07 21 GB FINAL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Financials/Year%20End%20Projections%202013/SEED%20Year%20End%20projection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Mthly Detail"/>
      <sheetName val="Summary PL"/>
      <sheetName val="Summary PL (2)"/>
      <sheetName val="Sheet3"/>
    </sheetNames>
    <sheetDataSet>
      <sheetData sheetId="0" refreshError="1"/>
      <sheetData sheetId="1" refreshError="1">
        <row r="13">
          <cell r="AE13">
            <v>12846229</v>
          </cell>
        </row>
        <row r="16">
          <cell r="AE16">
            <v>135853</v>
          </cell>
        </row>
        <row r="17">
          <cell r="AE17">
            <v>8000</v>
          </cell>
        </row>
        <row r="18">
          <cell r="AE18">
            <v>116900</v>
          </cell>
        </row>
        <row r="19">
          <cell r="AE19">
            <v>101191</v>
          </cell>
        </row>
        <row r="20">
          <cell r="AE20">
            <v>5582</v>
          </cell>
        </row>
        <row r="21">
          <cell r="AE21">
            <v>37500</v>
          </cell>
        </row>
        <row r="22">
          <cell r="AE22">
            <v>55902</v>
          </cell>
        </row>
        <row r="23">
          <cell r="AE23">
            <v>3217</v>
          </cell>
        </row>
        <row r="24">
          <cell r="AE24">
            <v>5657</v>
          </cell>
        </row>
        <row r="25">
          <cell r="AE25">
            <v>500</v>
          </cell>
        </row>
        <row r="26">
          <cell r="AE26">
            <v>146500</v>
          </cell>
        </row>
        <row r="27">
          <cell r="AE27">
            <v>3924</v>
          </cell>
        </row>
        <row r="29">
          <cell r="AE29">
            <v>6548</v>
          </cell>
        </row>
        <row r="37">
          <cell r="AE37">
            <v>6876812</v>
          </cell>
        </row>
        <row r="38">
          <cell r="AE38">
            <v>82408</v>
          </cell>
        </row>
        <row r="39">
          <cell r="AE39">
            <v>78665</v>
          </cell>
        </row>
        <row r="40">
          <cell r="AE40">
            <v>31500</v>
          </cell>
        </row>
        <row r="41">
          <cell r="AE41">
            <v>192685</v>
          </cell>
        </row>
        <row r="42">
          <cell r="AE42">
            <v>65708</v>
          </cell>
        </row>
        <row r="43">
          <cell r="AE43">
            <v>529462</v>
          </cell>
        </row>
        <row r="44">
          <cell r="AE44">
            <v>52518</v>
          </cell>
        </row>
        <row r="45">
          <cell r="AE45">
            <v>587194</v>
          </cell>
        </row>
        <row r="46">
          <cell r="AE46">
            <v>38607.879999999997</v>
          </cell>
        </row>
        <row r="47">
          <cell r="AE47">
            <v>332179</v>
          </cell>
        </row>
        <row r="48">
          <cell r="AE48">
            <v>17379</v>
          </cell>
        </row>
        <row r="49">
          <cell r="AE49">
            <v>143317</v>
          </cell>
        </row>
        <row r="50">
          <cell r="AE50">
            <v>3916</v>
          </cell>
        </row>
        <row r="51">
          <cell r="AE51">
            <v>9658</v>
          </cell>
        </row>
        <row r="57">
          <cell r="AE57">
            <v>8663</v>
          </cell>
        </row>
        <row r="58">
          <cell r="AE58">
            <v>24290</v>
          </cell>
        </row>
        <row r="59">
          <cell r="AE59">
            <v>41209</v>
          </cell>
        </row>
        <row r="60">
          <cell r="AE60">
            <v>20973</v>
          </cell>
        </row>
        <row r="61">
          <cell r="AE61">
            <v>7000</v>
          </cell>
        </row>
        <row r="62">
          <cell r="AE62">
            <v>144619</v>
          </cell>
        </row>
        <row r="63">
          <cell r="AE63">
            <v>128882</v>
          </cell>
        </row>
        <row r="64">
          <cell r="AE64">
            <v>856849</v>
          </cell>
        </row>
        <row r="65">
          <cell r="AE65">
            <v>185950</v>
          </cell>
        </row>
        <row r="66">
          <cell r="AE66">
            <v>7938</v>
          </cell>
        </row>
        <row r="67">
          <cell r="AE67">
            <v>1740</v>
          </cell>
        </row>
        <row r="68">
          <cell r="AE68">
            <v>39798</v>
          </cell>
        </row>
        <row r="69">
          <cell r="AE69">
            <v>79620</v>
          </cell>
        </row>
        <row r="70">
          <cell r="AE70">
            <v>25090</v>
          </cell>
        </row>
        <row r="71">
          <cell r="AE71">
            <v>41526</v>
          </cell>
        </row>
        <row r="72">
          <cell r="AE72">
            <v>100382</v>
          </cell>
        </row>
        <row r="73">
          <cell r="AE73">
            <v>10663</v>
          </cell>
        </row>
        <row r="74">
          <cell r="AE74">
            <v>537</v>
          </cell>
        </row>
        <row r="75">
          <cell r="AE75">
            <v>300112</v>
          </cell>
        </row>
        <row r="76">
          <cell r="AE76">
            <v>223411</v>
          </cell>
        </row>
        <row r="77">
          <cell r="AE77">
            <v>181919</v>
          </cell>
        </row>
        <row r="78">
          <cell r="AE78">
            <v>22788</v>
          </cell>
        </row>
        <row r="79">
          <cell r="AE79">
            <v>22525</v>
          </cell>
        </row>
        <row r="80">
          <cell r="AE80">
            <v>60200</v>
          </cell>
        </row>
        <row r="81">
          <cell r="AE81">
            <v>14346</v>
          </cell>
        </row>
        <row r="82">
          <cell r="AE82">
            <v>264405</v>
          </cell>
        </row>
        <row r="83">
          <cell r="AE83">
            <v>20332</v>
          </cell>
        </row>
        <row r="84">
          <cell r="AE84">
            <v>11000</v>
          </cell>
        </row>
        <row r="85">
          <cell r="AE85">
            <v>176080</v>
          </cell>
        </row>
        <row r="86">
          <cell r="AE86">
            <v>43058</v>
          </cell>
        </row>
        <row r="87">
          <cell r="AE87">
            <v>28174</v>
          </cell>
        </row>
        <row r="88">
          <cell r="AE88">
            <v>1756</v>
          </cell>
        </row>
        <row r="89">
          <cell r="AE89">
            <v>22457</v>
          </cell>
        </row>
        <row r="90">
          <cell r="AE90">
            <v>10199</v>
          </cell>
        </row>
        <row r="91">
          <cell r="AE91">
            <v>12164</v>
          </cell>
        </row>
        <row r="92">
          <cell r="AE92">
            <v>85771</v>
          </cell>
        </row>
        <row r="93">
          <cell r="AE93">
            <v>95673</v>
          </cell>
        </row>
        <row r="94">
          <cell r="AE94">
            <v>19199</v>
          </cell>
        </row>
        <row r="95">
          <cell r="AE95">
            <v>98070</v>
          </cell>
        </row>
        <row r="96">
          <cell r="AE96">
            <v>42487</v>
          </cell>
        </row>
        <row r="97">
          <cell r="AE97">
            <v>147043</v>
          </cell>
        </row>
        <row r="98">
          <cell r="AE98">
            <v>399999</v>
          </cell>
        </row>
        <row r="99">
          <cell r="AE99">
            <v>30436</v>
          </cell>
        </row>
        <row r="100">
          <cell r="AE100">
            <v>69470</v>
          </cell>
        </row>
        <row r="101">
          <cell r="AE101">
            <v>37076</v>
          </cell>
        </row>
        <row r="102">
          <cell r="AE102">
            <v>0</v>
          </cell>
        </row>
        <row r="103">
          <cell r="AE103">
            <v>139212.18</v>
          </cell>
        </row>
        <row r="107">
          <cell r="AE107">
            <v>883936</v>
          </cell>
        </row>
        <row r="108">
          <cell r="AE108">
            <v>51866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137"/>
  <sheetViews>
    <sheetView tabSelected="1" topLeftCell="B1" workbookViewId="0">
      <selection activeCell="B1" sqref="B1:AD1048576"/>
    </sheetView>
  </sheetViews>
  <sheetFormatPr defaultRowHeight="15" x14ac:dyDescent="0.25"/>
  <cols>
    <col min="1" max="1" width="9.140625" style="1" hidden="1" customWidth="1"/>
    <col min="2" max="2" width="30.85546875" style="1" customWidth="1"/>
    <col min="3" max="3" width="2.5703125" style="1" customWidth="1"/>
    <col min="4" max="4" width="11.5703125" style="1" hidden="1" customWidth="1"/>
    <col min="5" max="5" width="2.140625" style="1" hidden="1" customWidth="1"/>
    <col min="6" max="6" width="12.5703125" style="1" hidden="1" customWidth="1"/>
    <col min="7" max="7" width="2.42578125" style="1" hidden="1" customWidth="1"/>
    <col min="8" max="8" width="12.5703125" style="1" hidden="1" customWidth="1"/>
    <col min="9" max="9" width="2" style="1" hidden="1" customWidth="1"/>
    <col min="10" max="10" width="12.5703125" style="1" hidden="1" customWidth="1"/>
    <col min="11" max="11" width="2" style="1" hidden="1" customWidth="1"/>
    <col min="12" max="12" width="13.140625" style="1" hidden="1" customWidth="1"/>
    <col min="13" max="13" width="1.7109375" style="1" hidden="1" customWidth="1"/>
    <col min="14" max="14" width="14.28515625" style="1" hidden="1" customWidth="1"/>
    <col min="15" max="15" width="2.7109375" style="1" hidden="1" customWidth="1"/>
    <col min="16" max="16" width="11.7109375" style="1" hidden="1" customWidth="1"/>
    <col min="17" max="17" width="2.140625" style="1" hidden="1" customWidth="1"/>
    <col min="18" max="18" width="12.140625" style="1" hidden="1" customWidth="1"/>
    <col min="19" max="19" width="2" style="1" hidden="1" customWidth="1"/>
    <col min="20" max="20" width="11.140625" style="1" hidden="1" customWidth="1"/>
    <col min="21" max="21" width="1.7109375" style="1" hidden="1" customWidth="1"/>
    <col min="22" max="22" width="14.140625" style="1" hidden="1" customWidth="1"/>
    <col min="23" max="23" width="1.85546875" style="1" hidden="1" customWidth="1"/>
    <col min="24" max="24" width="12.5703125" style="1" hidden="1" customWidth="1"/>
    <col min="25" max="25" width="1.85546875" style="1" hidden="1" customWidth="1"/>
    <col min="26" max="26" width="14" style="1" hidden="1" customWidth="1"/>
    <col min="27" max="27" width="2.5703125" style="1" hidden="1" customWidth="1"/>
    <col min="28" max="28" width="13.28515625" style="1" hidden="1" customWidth="1"/>
    <col min="29" max="29" width="1.42578125" style="1" customWidth="1"/>
    <col min="30" max="30" width="15.5703125" style="1" bestFit="1" customWidth="1"/>
    <col min="31" max="31" width="18.28515625" style="46" hidden="1" customWidth="1"/>
    <col min="32" max="32" width="16" style="5" hidden="1" customWidth="1"/>
    <col min="33" max="33" width="3.85546875" style="1" hidden="1" customWidth="1"/>
    <col min="34" max="34" width="9.140625" style="1" hidden="1" customWidth="1"/>
    <col min="35" max="16384" width="9.140625" style="1"/>
  </cols>
  <sheetData>
    <row r="2" spans="1:34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E2" s="4"/>
    </row>
    <row r="3" spans="1:34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  <c r="AE3" s="4"/>
    </row>
    <row r="4" spans="1:34" x14ac:dyDescent="0.2">
      <c r="A4" s="6"/>
      <c r="B4" s="7"/>
      <c r="C4" s="7"/>
      <c r="D4" s="7"/>
      <c r="E4" s="7"/>
      <c r="F4" s="7"/>
      <c r="G4" s="7"/>
      <c r="H4" s="7"/>
      <c r="I4" s="7"/>
      <c r="J4" s="9" t="s">
        <v>1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  <c r="AE4" s="4"/>
    </row>
    <row r="5" spans="1:34" x14ac:dyDescent="0.2">
      <c r="A5" s="6"/>
      <c r="B5" s="11"/>
      <c r="C5" s="11"/>
      <c r="D5" s="9" t="s">
        <v>2</v>
      </c>
      <c r="E5" s="9"/>
      <c r="F5" s="9"/>
      <c r="G5" s="9"/>
      <c r="H5" s="9" t="s">
        <v>3</v>
      </c>
      <c r="I5" s="9"/>
      <c r="J5" s="9" t="s">
        <v>4</v>
      </c>
      <c r="K5" s="9"/>
      <c r="L5" s="9" t="s">
        <v>5</v>
      </c>
      <c r="M5" s="9"/>
      <c r="N5" s="9"/>
      <c r="O5" s="9"/>
      <c r="P5" s="9" t="s">
        <v>6</v>
      </c>
      <c r="Q5" s="9"/>
      <c r="R5" s="9"/>
      <c r="S5" s="9"/>
      <c r="T5" s="9"/>
      <c r="U5" s="9"/>
      <c r="V5" s="9" t="s">
        <v>7</v>
      </c>
      <c r="W5" s="9"/>
      <c r="X5" s="9" t="s">
        <v>8</v>
      </c>
      <c r="Y5" s="9"/>
      <c r="Z5" s="9"/>
      <c r="AA5" s="9"/>
      <c r="AB5" s="9" t="s">
        <v>9</v>
      </c>
      <c r="AC5" s="9"/>
      <c r="AD5" s="10" t="s">
        <v>10</v>
      </c>
      <c r="AE5" s="12" t="s">
        <v>11</v>
      </c>
      <c r="AF5" s="13" t="s">
        <v>12</v>
      </c>
      <c r="AG5" s="1" t="s">
        <v>13</v>
      </c>
    </row>
    <row r="6" spans="1:34" x14ac:dyDescent="0.2">
      <c r="A6" s="6"/>
      <c r="B6" s="11"/>
      <c r="C6" s="11"/>
      <c r="D6" s="14" t="s">
        <v>8</v>
      </c>
      <c r="E6" s="14"/>
      <c r="F6" s="14" t="s">
        <v>15</v>
      </c>
      <c r="G6" s="14"/>
      <c r="H6" s="14" t="s">
        <v>16</v>
      </c>
      <c r="I6" s="14"/>
      <c r="J6" s="14" t="s">
        <v>17</v>
      </c>
      <c r="K6" s="14"/>
      <c r="L6" s="14" t="s">
        <v>18</v>
      </c>
      <c r="M6" s="14"/>
      <c r="N6" s="14" t="s">
        <v>19</v>
      </c>
      <c r="O6" s="14"/>
      <c r="P6" s="14" t="s">
        <v>20</v>
      </c>
      <c r="Q6" s="14"/>
      <c r="R6" s="14" t="s">
        <v>21</v>
      </c>
      <c r="S6" s="14"/>
      <c r="T6" s="14" t="s">
        <v>22</v>
      </c>
      <c r="U6" s="14"/>
      <c r="V6" s="14" t="s">
        <v>23</v>
      </c>
      <c r="W6" s="14"/>
      <c r="X6" s="14" t="s">
        <v>24</v>
      </c>
      <c r="Y6" s="14"/>
      <c r="Z6" s="14" t="s">
        <v>25</v>
      </c>
      <c r="AA6" s="14"/>
      <c r="AB6" s="14" t="s">
        <v>26</v>
      </c>
      <c r="AC6" s="14"/>
      <c r="AD6" s="15" t="s">
        <v>27</v>
      </c>
      <c r="AE6" s="16" t="s">
        <v>28</v>
      </c>
    </row>
    <row r="7" spans="1:34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7"/>
      <c r="W7" s="7"/>
      <c r="X7" s="7"/>
      <c r="Y7" s="7"/>
      <c r="Z7" s="7"/>
      <c r="AA7" s="7"/>
      <c r="AB7" s="7"/>
      <c r="AC7" s="7"/>
      <c r="AD7" s="8"/>
      <c r="AE7" s="4"/>
    </row>
    <row r="8" spans="1:34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  <c r="AE8" s="4"/>
    </row>
    <row r="9" spans="1:34" x14ac:dyDescent="0.2">
      <c r="A9" s="6">
        <v>4000</v>
      </c>
      <c r="B9" s="18" t="s">
        <v>29</v>
      </c>
      <c r="C9" s="11"/>
      <c r="D9" s="19"/>
      <c r="E9" s="19"/>
      <c r="F9" s="19"/>
      <c r="G9" s="19"/>
      <c r="H9" s="19"/>
      <c r="I9" s="19"/>
      <c r="J9" s="19"/>
      <c r="K9" s="19"/>
      <c r="L9" s="19"/>
      <c r="M9" s="19"/>
      <c r="N9" s="19">
        <v>13672321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1">
        <v>13643676</v>
      </c>
      <c r="AE9" s="4">
        <f>+'[1]Mthly Detail'!$AE$13</f>
        <v>12846229</v>
      </c>
      <c r="AF9" s="5">
        <f>+AD9-AE9</f>
        <v>797447</v>
      </c>
      <c r="AG9" s="1" t="s">
        <v>30</v>
      </c>
    </row>
    <row r="10" spans="1:34" x14ac:dyDescent="0.2">
      <c r="A10" s="6"/>
      <c r="B10" s="18" t="s">
        <v>31</v>
      </c>
      <c r="C10" s="1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v>547000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A10" s="19"/>
      <c r="AB10" s="19"/>
      <c r="AC10" s="20"/>
      <c r="AD10" s="21">
        <v>548645</v>
      </c>
      <c r="AE10" s="4">
        <f>+'[1]Mthly Detail'!$AE$16</f>
        <v>135853</v>
      </c>
      <c r="AF10" s="5">
        <f>+AD10-AE10</f>
        <v>412792</v>
      </c>
    </row>
    <row r="11" spans="1:34" x14ac:dyDescent="0.2">
      <c r="A11" s="6">
        <v>4200</v>
      </c>
      <c r="B11" s="18" t="s">
        <v>32</v>
      </c>
      <c r="C11" s="1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>
        <v>340000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AA11" s="19"/>
      <c r="AB11" s="19"/>
      <c r="AC11" s="20"/>
      <c r="AD11" s="21">
        <f t="shared" ref="AD11:AD14" si="0">SUM(D11:AB11)</f>
        <v>340000</v>
      </c>
      <c r="AE11" s="4">
        <f>+'[1]Mthly Detail'!$AE$17+'[1]Mthly Detail'!$AE$18+'[1]Mthly Detail'!$AE$19+'[1]Mthly Detail'!$AE$20+'[1]Mthly Detail'!$AE$21</f>
        <v>269173</v>
      </c>
      <c r="AF11" s="5">
        <f t="shared" ref="AF11:AF16" si="1">+AD11-AE11</f>
        <v>70827</v>
      </c>
    </row>
    <row r="12" spans="1:34" x14ac:dyDescent="0.2">
      <c r="A12" s="6">
        <v>4900</v>
      </c>
      <c r="B12" s="18" t="s">
        <v>33</v>
      </c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v>4000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  <c r="AD12" s="21">
        <v>5000</v>
      </c>
      <c r="AE12" s="4">
        <f>+'[1]Mthly Detail'!$AE$27</f>
        <v>3924</v>
      </c>
      <c r="AF12" s="5">
        <f t="shared" si="1"/>
        <v>1076</v>
      </c>
    </row>
    <row r="13" spans="1:34" x14ac:dyDescent="0.2">
      <c r="A13" s="6">
        <v>4900</v>
      </c>
      <c r="B13" s="18" t="s">
        <v>34</v>
      </c>
      <c r="C13" s="1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v>40000</v>
      </c>
      <c r="O13" s="19"/>
      <c r="P13" s="19"/>
      <c r="Q13" s="19"/>
      <c r="R13" s="19"/>
      <c r="S13" s="19"/>
      <c r="T13" s="19"/>
      <c r="U13" s="19"/>
      <c r="W13" s="19"/>
      <c r="X13" s="19"/>
      <c r="Y13" s="19"/>
      <c r="Z13" s="19"/>
      <c r="AA13" s="19"/>
      <c r="AB13" s="19"/>
      <c r="AC13" s="20"/>
      <c r="AD13" s="21">
        <v>66000</v>
      </c>
      <c r="AE13" s="4">
        <f>+'[1]Mthly Detail'!$AE$29+'[1]Mthly Detail'!$AE$25+'[1]Mthly Detail'!$AE$24+'[1]Mthly Detail'!$AE$23+'[1]Mthly Detail'!$AE$22</f>
        <v>71824</v>
      </c>
      <c r="AF13" s="5">
        <f t="shared" si="1"/>
        <v>-5824</v>
      </c>
      <c r="AG13" s="1" t="s">
        <v>35</v>
      </c>
    </row>
    <row r="14" spans="1:34" x14ac:dyDescent="0.2">
      <c r="A14" s="6"/>
      <c r="B14" s="18" t="s">
        <v>36</v>
      </c>
      <c r="C14" s="1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  <c r="AD14" s="21">
        <f t="shared" si="0"/>
        <v>0</v>
      </c>
      <c r="AE14" s="4">
        <f>+'[1]Mthly Detail'!$AE$26</f>
        <v>146500</v>
      </c>
      <c r="AF14" s="5">
        <f t="shared" si="1"/>
        <v>-146500</v>
      </c>
    </row>
    <row r="15" spans="1:34" x14ac:dyDescent="0.2">
      <c r="A15" s="6"/>
      <c r="B15" s="18"/>
      <c r="C15" s="1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  <c r="AD15" s="21"/>
      <c r="AE15" s="4"/>
    </row>
    <row r="16" spans="1:34" x14ac:dyDescent="0.2">
      <c r="A16" s="22"/>
      <c r="B16" s="23" t="s">
        <v>37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>SUM(N9:N14)</f>
        <v>14603321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>
        <f>SUM(AD9:AD15)</f>
        <v>14603321</v>
      </c>
      <c r="AE16" s="27">
        <f>SUM(AE9:AE15)</f>
        <v>13473503</v>
      </c>
      <c r="AF16" s="28">
        <f t="shared" si="1"/>
        <v>1129818</v>
      </c>
      <c r="AG16" s="29"/>
      <c r="AH16" s="29"/>
    </row>
    <row r="17" spans="1:33" ht="15.75" x14ac:dyDescent="0.25">
      <c r="A17" s="6"/>
      <c r="B17" s="30"/>
      <c r="C17" s="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/>
      <c r="AD17" s="33"/>
      <c r="AE17" s="4"/>
    </row>
    <row r="18" spans="1:33" x14ac:dyDescent="0.2">
      <c r="A18" s="6"/>
      <c r="B18" s="34" t="s">
        <v>142</v>
      </c>
      <c r="C18" s="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4"/>
    </row>
    <row r="19" spans="1:33" x14ac:dyDescent="0.2">
      <c r="A19" s="6">
        <v>8530</v>
      </c>
      <c r="B19" s="7" t="s">
        <v>38</v>
      </c>
      <c r="C19" s="7"/>
      <c r="D19" s="21">
        <v>2400</v>
      </c>
      <c r="E19" s="21"/>
      <c r="F19" s="21">
        <v>5000</v>
      </c>
      <c r="G19" s="21"/>
      <c r="H19" s="21">
        <v>5000</v>
      </c>
      <c r="I19" s="21"/>
      <c r="J19" s="21">
        <v>3300</v>
      </c>
      <c r="K19" s="21"/>
      <c r="L19" s="33">
        <v>45000</v>
      </c>
      <c r="M19" s="33"/>
      <c r="N19" s="33">
        <v>1000</v>
      </c>
      <c r="O19" s="33"/>
      <c r="P19" s="33">
        <v>500</v>
      </c>
      <c r="Q19" s="33"/>
      <c r="R19" s="33">
        <v>250</v>
      </c>
      <c r="S19" s="33"/>
      <c r="T19" s="33">
        <v>500</v>
      </c>
      <c r="U19" s="33"/>
      <c r="V19" s="33"/>
      <c r="W19" s="33"/>
      <c r="X19" s="33">
        <v>1000</v>
      </c>
      <c r="Y19" s="33"/>
      <c r="Z19" s="33">
        <v>250</v>
      </c>
      <c r="AA19" s="33"/>
      <c r="AB19" s="33">
        <v>750</v>
      </c>
      <c r="AC19" s="21"/>
      <c r="AD19" s="21">
        <f t="shared" ref="AD19:AD76" si="2">SUM(D19:AB19)</f>
        <v>64950</v>
      </c>
      <c r="AE19" s="4">
        <f>'[1]Mthly Detail'!AE93</f>
        <v>95673</v>
      </c>
      <c r="AF19" s="5">
        <f t="shared" ref="AF19:AF74" si="3">+AD19-AE19</f>
        <v>-30723</v>
      </c>
    </row>
    <row r="20" spans="1:33" x14ac:dyDescent="0.2">
      <c r="A20" s="6">
        <v>6310</v>
      </c>
      <c r="B20" s="7" t="s">
        <v>39</v>
      </c>
      <c r="C20" s="7"/>
      <c r="D20" s="21"/>
      <c r="E20" s="21"/>
      <c r="F20" s="21">
        <v>17000</v>
      </c>
      <c r="G20" s="21"/>
      <c r="H20" s="33">
        <v>10010</v>
      </c>
      <c r="I20" s="21"/>
      <c r="J20" s="21"/>
      <c r="K20" s="21"/>
      <c r="L20" s="33"/>
      <c r="M20" s="33"/>
      <c r="N20" s="33"/>
      <c r="O20" s="33"/>
      <c r="P20" s="33"/>
      <c r="Q20" s="33"/>
      <c r="R20" s="33">
        <v>5000</v>
      </c>
      <c r="S20" s="33"/>
      <c r="T20" s="33">
        <v>2000</v>
      </c>
      <c r="U20" s="33"/>
      <c r="V20" s="33">
        <v>3500</v>
      </c>
      <c r="W20" s="33"/>
      <c r="X20" s="33"/>
      <c r="Y20" s="33"/>
      <c r="Z20" s="33"/>
      <c r="AA20" s="33"/>
      <c r="AB20" s="33"/>
      <c r="AC20" s="35"/>
      <c r="AD20" s="21">
        <f t="shared" si="2"/>
        <v>37510</v>
      </c>
      <c r="AE20" s="4">
        <f>'[1]Mthly Detail'!AE62</f>
        <v>144619</v>
      </c>
      <c r="AF20" s="5">
        <f t="shared" si="3"/>
        <v>-107109</v>
      </c>
      <c r="AG20" s="1" t="s">
        <v>40</v>
      </c>
    </row>
    <row r="21" spans="1:33" x14ac:dyDescent="0.2">
      <c r="A21" s="6">
        <v>6320</v>
      </c>
      <c r="B21" s="7" t="s">
        <v>41</v>
      </c>
      <c r="C21" s="7"/>
      <c r="D21" s="21"/>
      <c r="E21" s="21"/>
      <c r="F21" s="21">
        <v>1000</v>
      </c>
      <c r="G21" s="21"/>
      <c r="H21" s="33">
        <v>4000</v>
      </c>
      <c r="I21" s="21"/>
      <c r="K21" s="21"/>
      <c r="L21" s="33">
        <v>907629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>
        <v>10000</v>
      </c>
      <c r="AA21" s="33"/>
      <c r="AB21" s="33">
        <v>1500</v>
      </c>
      <c r="AC21" s="35"/>
      <c r="AD21" s="21">
        <f t="shared" si="2"/>
        <v>924129</v>
      </c>
      <c r="AE21" s="4">
        <f>'[1]Mthly Detail'!AE64</f>
        <v>856849</v>
      </c>
      <c r="AF21" s="5">
        <f t="shared" si="3"/>
        <v>67280</v>
      </c>
    </row>
    <row r="22" spans="1:33" x14ac:dyDescent="0.2">
      <c r="A22" s="6">
        <v>5230</v>
      </c>
      <c r="B22" s="7" t="s">
        <v>42</v>
      </c>
      <c r="C22" s="7"/>
      <c r="D22" s="21">
        <v>500</v>
      </c>
      <c r="E22" s="21"/>
      <c r="F22" s="21">
        <v>1500</v>
      </c>
      <c r="G22" s="21"/>
      <c r="H22" s="33">
        <v>3600</v>
      </c>
      <c r="I22" s="21"/>
      <c r="J22" s="21">
        <v>2000</v>
      </c>
      <c r="K22" s="21"/>
      <c r="L22" s="33"/>
      <c r="M22" s="33"/>
      <c r="N22" s="33"/>
      <c r="O22" s="33"/>
      <c r="P22" s="33">
        <v>500</v>
      </c>
      <c r="Q22" s="33"/>
      <c r="R22" s="33">
        <v>250</v>
      </c>
      <c r="S22" s="33"/>
      <c r="T22" s="33">
        <v>0</v>
      </c>
      <c r="U22" s="33"/>
      <c r="V22" s="33"/>
      <c r="W22" s="33"/>
      <c r="X22" s="33"/>
      <c r="Y22" s="33"/>
      <c r="Z22" s="33"/>
      <c r="AA22" s="33"/>
      <c r="AB22" s="36"/>
      <c r="AC22" s="35"/>
      <c r="AD22" s="21">
        <f t="shared" si="2"/>
        <v>8350</v>
      </c>
      <c r="AE22" s="4">
        <f>'[1]Mthly Detail'!AE57</f>
        <v>8663</v>
      </c>
      <c r="AF22" s="5">
        <f t="shared" si="3"/>
        <v>-313</v>
      </c>
    </row>
    <row r="23" spans="1:33" x14ac:dyDescent="0.2">
      <c r="A23" s="6">
        <v>8615</v>
      </c>
      <c r="B23" s="7" t="s">
        <v>43</v>
      </c>
      <c r="C23" s="7"/>
      <c r="D23" s="21"/>
      <c r="E23" s="21"/>
      <c r="F23" s="21">
        <v>0</v>
      </c>
      <c r="G23" s="21"/>
      <c r="H23" s="33">
        <v>10000</v>
      </c>
      <c r="I23" s="21"/>
      <c r="J23" s="21"/>
      <c r="K23" s="21"/>
      <c r="L23" s="33"/>
      <c r="M23" s="33"/>
      <c r="N23" s="33">
        <v>3000</v>
      </c>
      <c r="O23" s="33"/>
      <c r="P23" s="33"/>
      <c r="Q23" s="33"/>
      <c r="R23" s="33">
        <v>5000</v>
      </c>
      <c r="S23" s="33"/>
      <c r="T23" s="33"/>
      <c r="U23" s="33"/>
      <c r="V23" s="33">
        <v>10000</v>
      </c>
      <c r="W23" s="33"/>
      <c r="X23" s="33"/>
      <c r="Y23" s="33"/>
      <c r="Z23" s="33">
        <v>8462</v>
      </c>
      <c r="AA23" s="33"/>
      <c r="AB23" s="36"/>
      <c r="AC23" s="35"/>
      <c r="AD23" s="21">
        <f t="shared" si="2"/>
        <v>36462</v>
      </c>
      <c r="AE23" s="4">
        <f>'[1]Mthly Detail'!AE96</f>
        <v>42487</v>
      </c>
      <c r="AF23" s="5">
        <f t="shared" si="3"/>
        <v>-6025</v>
      </c>
    </row>
    <row r="24" spans="1:33" x14ac:dyDescent="0.2">
      <c r="A24" s="6">
        <v>8500</v>
      </c>
      <c r="B24" s="7" t="s">
        <v>44</v>
      </c>
      <c r="C24" s="7"/>
      <c r="D24" s="21">
        <v>250</v>
      </c>
      <c r="E24" s="21"/>
      <c r="F24" s="21">
        <v>800</v>
      </c>
      <c r="G24" s="21"/>
      <c r="H24" s="33">
        <v>100</v>
      </c>
      <c r="I24" s="21"/>
      <c r="J24" s="21">
        <v>2000</v>
      </c>
      <c r="K24" s="21"/>
      <c r="L24" s="33">
        <v>12000</v>
      </c>
      <c r="M24" s="33"/>
      <c r="N24" s="33"/>
      <c r="O24" s="33"/>
      <c r="P24" s="33">
        <v>500</v>
      </c>
      <c r="Q24" s="33"/>
      <c r="R24" s="33"/>
      <c r="S24" s="33"/>
      <c r="T24" s="33">
        <v>100</v>
      </c>
      <c r="U24" s="33"/>
      <c r="V24" s="33">
        <v>100</v>
      </c>
      <c r="W24" s="33"/>
      <c r="X24" s="33"/>
      <c r="Y24" s="33"/>
      <c r="Z24" s="33">
        <v>500</v>
      </c>
      <c r="AA24" s="33"/>
      <c r="AB24" s="33">
        <v>500</v>
      </c>
      <c r="AC24" s="21"/>
      <c r="AD24" s="21">
        <f t="shared" si="2"/>
        <v>16850</v>
      </c>
      <c r="AE24" s="4">
        <f>'[1]Mthly Detail'!AE90</f>
        <v>10199</v>
      </c>
      <c r="AF24" s="5">
        <f t="shared" si="3"/>
        <v>6651</v>
      </c>
    </row>
    <row r="25" spans="1:33" x14ac:dyDescent="0.2">
      <c r="A25" s="6">
        <v>8510</v>
      </c>
      <c r="B25" s="7" t="s">
        <v>45</v>
      </c>
      <c r="C25" s="7"/>
      <c r="D25" s="21">
        <v>3600</v>
      </c>
      <c r="E25" s="21"/>
      <c r="F25" s="21">
        <v>800</v>
      </c>
      <c r="G25" s="21"/>
      <c r="H25" s="33">
        <v>4000</v>
      </c>
      <c r="I25" s="21"/>
      <c r="J25" s="21">
        <v>14200</v>
      </c>
      <c r="K25" s="21"/>
      <c r="L25" s="33"/>
      <c r="M25" s="33"/>
      <c r="N25" s="33"/>
      <c r="O25" s="33"/>
      <c r="P25" s="33">
        <v>1000</v>
      </c>
      <c r="Q25" s="33"/>
      <c r="R25" s="33"/>
      <c r="S25" s="33"/>
      <c r="T25" s="33"/>
      <c r="U25" s="33"/>
      <c r="V25" s="33"/>
      <c r="W25" s="33"/>
      <c r="X25" s="33"/>
      <c r="Y25" s="33"/>
      <c r="Z25" s="33">
        <v>1500</v>
      </c>
      <c r="AA25" s="33"/>
      <c r="AB25" s="33">
        <v>800</v>
      </c>
      <c r="AC25" s="21"/>
      <c r="AD25" s="21">
        <f t="shared" si="2"/>
        <v>25900</v>
      </c>
      <c r="AE25" s="4">
        <f>'[1]Mthly Detail'!AE91</f>
        <v>12164</v>
      </c>
      <c r="AF25" s="5">
        <f t="shared" si="3"/>
        <v>13736</v>
      </c>
    </row>
    <row r="26" spans="1:33" x14ac:dyDescent="0.2">
      <c r="A26" s="6">
        <v>5235</v>
      </c>
      <c r="B26" s="7" t="s">
        <v>46</v>
      </c>
      <c r="C26" s="7"/>
      <c r="D26" s="21"/>
      <c r="E26" s="21"/>
      <c r="F26" s="21">
        <v>6000</v>
      </c>
      <c r="G26" s="21"/>
      <c r="H26" s="33">
        <v>2500</v>
      </c>
      <c r="I26" s="21"/>
      <c r="J26" s="21">
        <v>500</v>
      </c>
      <c r="K26" s="21"/>
      <c r="L26" s="33"/>
      <c r="M26" s="33"/>
      <c r="N26" s="33">
        <v>500</v>
      </c>
      <c r="O26" s="33"/>
      <c r="P26" s="33"/>
      <c r="Q26" s="33"/>
      <c r="R26" s="33"/>
      <c r="S26" s="33"/>
      <c r="T26" s="33">
        <v>2500</v>
      </c>
      <c r="U26" s="33"/>
      <c r="V26" s="33">
        <v>1000</v>
      </c>
      <c r="W26" s="33"/>
      <c r="X26" s="33"/>
      <c r="Y26" s="33"/>
      <c r="Z26" s="33">
        <v>1250</v>
      </c>
      <c r="AA26" s="33"/>
      <c r="AB26" s="33"/>
      <c r="AC26" s="21"/>
      <c r="AD26" s="21">
        <f t="shared" si="2"/>
        <v>14250</v>
      </c>
      <c r="AE26" s="4">
        <f>'[1]Mthly Detail'!AE58</f>
        <v>24290</v>
      </c>
      <c r="AF26" s="5">
        <f t="shared" si="3"/>
        <v>-10040</v>
      </c>
    </row>
    <row r="27" spans="1:33" x14ac:dyDescent="0.2">
      <c r="A27" s="6">
        <v>5240</v>
      </c>
      <c r="B27" s="7" t="s">
        <v>47</v>
      </c>
      <c r="C27" s="7"/>
      <c r="D27" s="21"/>
      <c r="E27" s="21"/>
      <c r="F27" s="21">
        <v>0</v>
      </c>
      <c r="G27" s="21"/>
      <c r="H27" s="33"/>
      <c r="I27" s="21"/>
      <c r="J27" s="21">
        <v>8050</v>
      </c>
      <c r="K27" s="21"/>
      <c r="L27" s="33"/>
      <c r="M27" s="33"/>
      <c r="N27" s="33"/>
      <c r="O27" s="33"/>
      <c r="P27" s="33">
        <v>31000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21"/>
      <c r="AD27" s="21">
        <f t="shared" si="2"/>
        <v>39050</v>
      </c>
      <c r="AE27" s="4">
        <f>'[1]Mthly Detail'!AE59</f>
        <v>41209</v>
      </c>
      <c r="AF27" s="5">
        <f t="shared" si="3"/>
        <v>-2159</v>
      </c>
    </row>
    <row r="28" spans="1:33" x14ac:dyDescent="0.2">
      <c r="A28" s="6">
        <v>6330</v>
      </c>
      <c r="B28" s="7" t="s">
        <v>48</v>
      </c>
      <c r="C28" s="7"/>
      <c r="D28" s="21"/>
      <c r="E28" s="21"/>
      <c r="F28" s="21">
        <v>16000</v>
      </c>
      <c r="G28" s="21"/>
      <c r="H28" s="33">
        <v>60500</v>
      </c>
      <c r="I28" s="21"/>
      <c r="J28" s="21"/>
      <c r="K28" s="21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>
        <v>68000</v>
      </c>
      <c r="AA28" s="33"/>
      <c r="AB28" s="33">
        <v>2500</v>
      </c>
      <c r="AC28" s="21"/>
      <c r="AD28" s="21">
        <f t="shared" si="2"/>
        <v>147000</v>
      </c>
      <c r="AE28" s="4">
        <f>'[1]Mthly Detail'!AE65</f>
        <v>185950</v>
      </c>
      <c r="AF28" s="5">
        <f t="shared" si="3"/>
        <v>-38950</v>
      </c>
      <c r="AG28" s="1" t="s">
        <v>49</v>
      </c>
    </row>
    <row r="29" spans="1:33" x14ac:dyDescent="0.2">
      <c r="A29" s="6">
        <v>6355</v>
      </c>
      <c r="B29" s="7" t="s">
        <v>50</v>
      </c>
      <c r="C29" s="7"/>
      <c r="D29" s="21"/>
      <c r="E29" s="21"/>
      <c r="F29" s="21">
        <v>3000</v>
      </c>
      <c r="G29" s="21"/>
      <c r="H29" s="33">
        <v>10000</v>
      </c>
      <c r="I29" s="21"/>
      <c r="J29" s="21"/>
      <c r="K29" s="21"/>
      <c r="L29" s="33">
        <f>25000*1.03</f>
        <v>25750</v>
      </c>
      <c r="M29" s="33"/>
      <c r="N29" s="33"/>
      <c r="O29" s="33"/>
      <c r="P29" s="33"/>
      <c r="Q29" s="33"/>
      <c r="R29" s="33"/>
      <c r="S29" s="33"/>
      <c r="T29" s="33"/>
      <c r="U29" s="33"/>
      <c r="V29" s="33">
        <v>300</v>
      </c>
      <c r="W29" s="33"/>
      <c r="X29" s="33"/>
      <c r="Y29" s="33"/>
      <c r="Z29" s="33"/>
      <c r="AA29" s="33"/>
      <c r="AB29" s="33">
        <v>4000</v>
      </c>
      <c r="AC29" s="21"/>
      <c r="AD29" s="21">
        <f t="shared" si="2"/>
        <v>43050</v>
      </c>
      <c r="AE29" s="4">
        <f>'[1]Mthly Detail'!AE68</f>
        <v>39798</v>
      </c>
      <c r="AF29" s="5">
        <f t="shared" si="3"/>
        <v>3252</v>
      </c>
    </row>
    <row r="30" spans="1:33" x14ac:dyDescent="0.2">
      <c r="A30" s="6">
        <v>8645</v>
      </c>
      <c r="B30" s="7" t="s">
        <v>51</v>
      </c>
      <c r="C30" s="7"/>
      <c r="D30" s="21"/>
      <c r="E30" s="21"/>
      <c r="F30" s="21"/>
      <c r="G30" s="21"/>
      <c r="H30" s="33"/>
      <c r="I30" s="21"/>
      <c r="J30" s="21"/>
      <c r="K30" s="2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21"/>
      <c r="AD30" s="21">
        <f t="shared" si="2"/>
        <v>0</v>
      </c>
      <c r="AE30" s="4">
        <f>'[1]Mthly Detail'!AE99</f>
        <v>30436</v>
      </c>
      <c r="AF30" s="5">
        <f t="shared" si="3"/>
        <v>-30436</v>
      </c>
    </row>
    <row r="31" spans="1:33" x14ac:dyDescent="0.2">
      <c r="A31" s="6">
        <v>9998</v>
      </c>
      <c r="B31" s="7" t="s">
        <v>52</v>
      </c>
      <c r="C31" s="7"/>
      <c r="D31" s="35">
        <v>15000</v>
      </c>
      <c r="E31" s="35"/>
      <c r="F31" s="35"/>
      <c r="G31" s="35"/>
      <c r="H31" s="36"/>
      <c r="I31" s="35"/>
      <c r="J31" s="35"/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3"/>
      <c r="W31" s="36"/>
      <c r="X31" s="36"/>
      <c r="Y31" s="36"/>
      <c r="Z31" s="36"/>
      <c r="AA31" s="36"/>
      <c r="AB31" s="36"/>
      <c r="AC31" s="35"/>
      <c r="AD31" s="21">
        <f t="shared" si="2"/>
        <v>15000</v>
      </c>
      <c r="AE31" s="4">
        <f>'[1]Mthly Detail'!AE102</f>
        <v>0</v>
      </c>
      <c r="AF31" s="5">
        <f t="shared" si="3"/>
        <v>15000</v>
      </c>
    </row>
    <row r="32" spans="1:33" x14ac:dyDescent="0.2">
      <c r="A32" s="6">
        <v>9999</v>
      </c>
      <c r="B32" s="7" t="s">
        <v>53</v>
      </c>
      <c r="C32" s="7"/>
      <c r="D32" s="35">
        <v>15000</v>
      </c>
      <c r="E32" s="35"/>
      <c r="F32" s="35"/>
      <c r="G32" s="35"/>
      <c r="H32" s="36"/>
      <c r="I32" s="35"/>
      <c r="J32" s="35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5"/>
      <c r="AD32" s="21">
        <f t="shared" si="2"/>
        <v>15000</v>
      </c>
      <c r="AE32" s="4">
        <f>'[1]Mthly Detail'!AE101</f>
        <v>37076</v>
      </c>
      <c r="AF32" s="5">
        <f t="shared" si="3"/>
        <v>-22076</v>
      </c>
    </row>
    <row r="33" spans="1:33" x14ac:dyDescent="0.2">
      <c r="A33" s="6"/>
      <c r="B33" s="7"/>
      <c r="C33" s="7"/>
      <c r="D33" s="35"/>
      <c r="E33" s="35"/>
      <c r="F33" s="35"/>
      <c r="G33" s="35"/>
      <c r="H33" s="36"/>
      <c r="I33" s="35"/>
      <c r="J33" s="35"/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5"/>
      <c r="AD33" s="21"/>
      <c r="AE33" s="4"/>
      <c r="AF33" s="5">
        <f t="shared" si="3"/>
        <v>0</v>
      </c>
    </row>
    <row r="34" spans="1:33" x14ac:dyDescent="0.2">
      <c r="A34" s="6">
        <v>6300</v>
      </c>
      <c r="B34" s="7" t="s">
        <v>54</v>
      </c>
      <c r="C34" s="7"/>
      <c r="D34" s="21"/>
      <c r="E34" s="21"/>
      <c r="F34" s="21">
        <v>20000</v>
      </c>
      <c r="G34" s="21"/>
      <c r="H34" s="33"/>
      <c r="I34" s="21"/>
      <c r="J34" s="21"/>
      <c r="K34" s="21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21"/>
      <c r="AD34" s="21">
        <f t="shared" si="2"/>
        <v>20000</v>
      </c>
      <c r="AE34" s="4">
        <f>'[1]Mthly Detail'!AE60</f>
        <v>20973</v>
      </c>
      <c r="AF34" s="5">
        <f t="shared" si="3"/>
        <v>-973</v>
      </c>
    </row>
    <row r="35" spans="1:33" x14ac:dyDescent="0.2">
      <c r="A35" s="6">
        <v>6350</v>
      </c>
      <c r="B35" s="7" t="s">
        <v>55</v>
      </c>
      <c r="C35" s="7"/>
      <c r="D35" s="21"/>
      <c r="E35" s="21"/>
      <c r="F35" s="21">
        <v>1500</v>
      </c>
      <c r="G35" s="21"/>
      <c r="H35" s="33">
        <v>10000</v>
      </c>
      <c r="I35" s="21"/>
      <c r="J35" s="21"/>
      <c r="K35" s="21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21"/>
      <c r="AD35" s="21">
        <f t="shared" si="2"/>
        <v>11500</v>
      </c>
      <c r="AE35" s="4">
        <f>'[1]Mthly Detail'!AE67</f>
        <v>1740</v>
      </c>
      <c r="AF35" s="5">
        <f t="shared" si="3"/>
        <v>9760</v>
      </c>
    </row>
    <row r="36" spans="1:33" x14ac:dyDescent="0.2">
      <c r="A36" s="6">
        <v>6360</v>
      </c>
      <c r="B36" s="7" t="s">
        <v>56</v>
      </c>
      <c r="C36" s="7"/>
      <c r="D36" s="21"/>
      <c r="E36" s="21"/>
      <c r="F36" s="21">
        <v>15000</v>
      </c>
      <c r="G36" s="21"/>
      <c r="H36" s="33">
        <v>2000</v>
      </c>
      <c r="I36" s="21"/>
      <c r="J36" s="21"/>
      <c r="K36" s="21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>
        <v>5000</v>
      </c>
      <c r="W36" s="33"/>
      <c r="X36" s="33"/>
      <c r="Y36" s="33"/>
      <c r="Z36" s="33"/>
      <c r="AA36" s="33"/>
      <c r="AB36" s="33">
        <v>4000</v>
      </c>
      <c r="AC36" s="21"/>
      <c r="AD36" s="21">
        <f t="shared" si="2"/>
        <v>26000</v>
      </c>
      <c r="AE36" s="4">
        <f>'[1]Mthly Detail'!AE69</f>
        <v>79620</v>
      </c>
      <c r="AF36" s="5">
        <f t="shared" si="3"/>
        <v>-53620</v>
      </c>
      <c r="AG36" s="1" t="s">
        <v>57</v>
      </c>
    </row>
    <row r="37" spans="1:33" x14ac:dyDescent="0.2">
      <c r="A37" s="6">
        <v>6399</v>
      </c>
      <c r="B37" s="7" t="s">
        <v>58</v>
      </c>
      <c r="C37" s="7"/>
      <c r="D37" s="21"/>
      <c r="E37" s="21"/>
      <c r="F37" s="21">
        <v>39100</v>
      </c>
      <c r="G37" s="21"/>
      <c r="H37" s="33"/>
      <c r="I37" s="21"/>
      <c r="J37" s="21"/>
      <c r="K37" s="21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21"/>
      <c r="AD37" s="21">
        <f t="shared" si="2"/>
        <v>39100</v>
      </c>
      <c r="AE37" s="4">
        <f>'[1]Mthly Detail'!AE74</f>
        <v>537</v>
      </c>
      <c r="AF37" s="5">
        <f t="shared" si="3"/>
        <v>38563</v>
      </c>
    </row>
    <row r="38" spans="1:33" x14ac:dyDescent="0.2">
      <c r="A38" s="6">
        <v>6315</v>
      </c>
      <c r="B38" s="7" t="s">
        <v>59</v>
      </c>
      <c r="C38" s="7"/>
      <c r="D38" s="21"/>
      <c r="E38" s="21"/>
      <c r="F38" s="21"/>
      <c r="G38" s="21"/>
      <c r="H38" s="33"/>
      <c r="I38" s="21"/>
      <c r="J38" s="21"/>
      <c r="K38" s="21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>
        <v>133000</v>
      </c>
      <c r="W38" s="33"/>
      <c r="X38" s="33"/>
      <c r="Y38" s="33"/>
      <c r="Z38" s="33"/>
      <c r="AA38" s="33"/>
      <c r="AB38" s="33"/>
      <c r="AC38" s="21"/>
      <c r="AD38" s="21">
        <f t="shared" si="2"/>
        <v>133000</v>
      </c>
      <c r="AE38" s="4">
        <f>'[1]Mthly Detail'!AE63</f>
        <v>128882</v>
      </c>
      <c r="AF38" s="5">
        <f t="shared" si="3"/>
        <v>4118</v>
      </c>
    </row>
    <row r="39" spans="1:33" x14ac:dyDescent="0.2">
      <c r="A39" s="6"/>
      <c r="B39" s="7"/>
      <c r="C39" s="7"/>
      <c r="D39" s="21"/>
      <c r="E39" s="21"/>
      <c r="F39" s="21"/>
      <c r="G39" s="21"/>
      <c r="H39" s="33"/>
      <c r="I39" s="21"/>
      <c r="J39" s="21"/>
      <c r="K39" s="21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21"/>
      <c r="AD39" s="21"/>
      <c r="AE39" s="4"/>
      <c r="AF39" s="5">
        <f t="shared" si="3"/>
        <v>0</v>
      </c>
    </row>
    <row r="40" spans="1:33" x14ac:dyDescent="0.2">
      <c r="A40" s="6">
        <v>7580</v>
      </c>
      <c r="B40" s="37" t="s">
        <v>60</v>
      </c>
      <c r="C40" s="7"/>
      <c r="D40" s="21"/>
      <c r="E40" s="21"/>
      <c r="F40" s="21"/>
      <c r="G40" s="21"/>
      <c r="H40" s="33"/>
      <c r="I40" s="21"/>
      <c r="J40" s="21">
        <v>52750</v>
      </c>
      <c r="K40" s="21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21"/>
      <c r="AD40" s="21">
        <f t="shared" si="2"/>
        <v>52750</v>
      </c>
      <c r="AE40" s="4">
        <f>'[1]Mthly Detail'!AE89</f>
        <v>22457</v>
      </c>
      <c r="AF40" s="5">
        <f t="shared" si="3"/>
        <v>30293</v>
      </c>
    </row>
    <row r="41" spans="1:33" x14ac:dyDescent="0.2">
      <c r="A41" s="6">
        <v>6340</v>
      </c>
      <c r="B41" s="7" t="s">
        <v>61</v>
      </c>
      <c r="C41" s="7"/>
      <c r="D41" s="21">
        <v>500</v>
      </c>
      <c r="E41" s="21"/>
      <c r="F41" s="21"/>
      <c r="G41" s="21"/>
      <c r="H41" s="33"/>
      <c r="I41" s="21"/>
      <c r="J41" s="21">
        <v>4000</v>
      </c>
      <c r="K41" s="21"/>
      <c r="L41" s="33">
        <v>375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>
        <v>5400</v>
      </c>
      <c r="Y41" s="33"/>
      <c r="Z41" s="33"/>
      <c r="AA41" s="33"/>
      <c r="AB41" s="33"/>
      <c r="AC41" s="21"/>
      <c r="AD41" s="21">
        <f t="shared" si="2"/>
        <v>10275</v>
      </c>
      <c r="AE41" s="4">
        <f>'[1]Mthly Detail'!AE66</f>
        <v>7938</v>
      </c>
      <c r="AF41" s="5">
        <f t="shared" si="3"/>
        <v>2337</v>
      </c>
    </row>
    <row r="42" spans="1:33" x14ac:dyDescent="0.2">
      <c r="A42" s="6">
        <v>7490</v>
      </c>
      <c r="B42" s="37" t="s">
        <v>62</v>
      </c>
      <c r="C42" s="7"/>
      <c r="D42" s="21"/>
      <c r="E42" s="21"/>
      <c r="F42" s="21"/>
      <c r="G42" s="21"/>
      <c r="H42" s="33"/>
      <c r="I42" s="21"/>
      <c r="J42" s="21"/>
      <c r="K42" s="21"/>
      <c r="L42" s="33"/>
      <c r="M42" s="33"/>
      <c r="N42" s="33"/>
      <c r="O42" s="33"/>
      <c r="P42" s="33"/>
      <c r="Q42" s="33"/>
      <c r="R42" s="33">
        <f>35000-15000</f>
        <v>20000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21"/>
      <c r="AD42" s="21">
        <f t="shared" si="2"/>
        <v>20000</v>
      </c>
      <c r="AE42" s="4">
        <f>'[1]Mthly Detail'!AE87</f>
        <v>28174</v>
      </c>
      <c r="AF42" s="5">
        <f t="shared" si="3"/>
        <v>-8174</v>
      </c>
    </row>
    <row r="43" spans="1:33" x14ac:dyDescent="0.2">
      <c r="A43" s="6">
        <v>7485</v>
      </c>
      <c r="B43" s="7" t="s">
        <v>63</v>
      </c>
      <c r="C43" s="7"/>
      <c r="D43" s="21"/>
      <c r="E43" s="21"/>
      <c r="F43" s="21"/>
      <c r="G43" s="21"/>
      <c r="H43" s="33"/>
      <c r="I43" s="21"/>
      <c r="J43" s="35"/>
      <c r="K43" s="21"/>
      <c r="L43" s="33"/>
      <c r="M43" s="33"/>
      <c r="N43" s="33"/>
      <c r="O43" s="33"/>
      <c r="P43" s="33"/>
      <c r="Q43" s="33"/>
      <c r="R43" s="33">
        <v>65000</v>
      </c>
      <c r="S43" s="33"/>
      <c r="T43" s="33"/>
      <c r="U43" s="33"/>
      <c r="V43" s="33"/>
      <c r="W43" s="33"/>
      <c r="X43" s="33"/>
      <c r="Y43" s="33"/>
      <c r="Z43" s="33">
        <v>4000</v>
      </c>
      <c r="AA43" s="33"/>
      <c r="AB43" s="33"/>
      <c r="AC43" s="21"/>
      <c r="AD43" s="21">
        <f t="shared" si="2"/>
        <v>69000</v>
      </c>
      <c r="AE43" s="4">
        <f>'[1]Mthly Detail'!AE85</f>
        <v>176080</v>
      </c>
      <c r="AF43" s="5">
        <f t="shared" si="3"/>
        <v>-107080</v>
      </c>
    </row>
    <row r="44" spans="1:33" x14ac:dyDescent="0.2">
      <c r="A44" s="6">
        <v>7488</v>
      </c>
      <c r="B44" s="7" t="s">
        <v>64</v>
      </c>
      <c r="C44" s="7"/>
      <c r="D44" s="21"/>
      <c r="E44" s="21"/>
      <c r="F44" s="21"/>
      <c r="G44" s="21"/>
      <c r="H44" s="33"/>
      <c r="I44" s="21"/>
      <c r="J44" s="35">
        <v>500</v>
      </c>
      <c r="K44" s="21"/>
      <c r="L44" s="33"/>
      <c r="M44" s="33"/>
      <c r="N44" s="33"/>
      <c r="O44" s="33"/>
      <c r="P44" s="33"/>
      <c r="Q44" s="33"/>
      <c r="R44" s="33">
        <v>40000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21"/>
      <c r="AD44" s="21">
        <f t="shared" si="2"/>
        <v>40500</v>
      </c>
      <c r="AE44" s="4">
        <f>'[1]Mthly Detail'!AE86</f>
        <v>43058</v>
      </c>
      <c r="AF44" s="5">
        <f t="shared" si="3"/>
        <v>-2558</v>
      </c>
    </row>
    <row r="45" spans="1:33" x14ac:dyDescent="0.2">
      <c r="A45" s="6"/>
      <c r="B45" s="7"/>
      <c r="C45" s="7"/>
      <c r="D45" s="21"/>
      <c r="E45" s="21"/>
      <c r="F45" s="21"/>
      <c r="G45" s="21"/>
      <c r="H45" s="33"/>
      <c r="I45" s="21"/>
      <c r="J45" s="35"/>
      <c r="K45" s="21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21"/>
      <c r="AD45" s="21"/>
      <c r="AE45" s="4"/>
      <c r="AF45" s="5">
        <f t="shared" si="3"/>
        <v>0</v>
      </c>
    </row>
    <row r="46" spans="1:33" x14ac:dyDescent="0.2">
      <c r="A46" s="6">
        <v>6370</v>
      </c>
      <c r="B46" s="7" t="s">
        <v>65</v>
      </c>
      <c r="C46" s="7"/>
      <c r="D46" s="21"/>
      <c r="E46" s="21"/>
      <c r="F46" s="21"/>
      <c r="G46" s="21"/>
      <c r="H46" s="33">
        <v>500</v>
      </c>
      <c r="I46" s="21"/>
      <c r="J46" s="35"/>
      <c r="K46" s="21"/>
      <c r="L46" s="33"/>
      <c r="M46" s="33"/>
      <c r="N46" s="33"/>
      <c r="O46" s="33"/>
      <c r="P46" s="33"/>
      <c r="Q46" s="33"/>
      <c r="R46" s="33"/>
      <c r="S46" s="33"/>
      <c r="T46" s="33">
        <v>10000</v>
      </c>
      <c r="U46" s="33"/>
      <c r="V46" s="33"/>
      <c r="W46" s="33"/>
      <c r="X46" s="33"/>
      <c r="Y46" s="33"/>
      <c r="Z46" s="33"/>
      <c r="AA46" s="33"/>
      <c r="AB46" s="33"/>
      <c r="AC46" s="21"/>
      <c r="AD46" s="21">
        <f t="shared" si="2"/>
        <v>10500</v>
      </c>
      <c r="AE46" s="4">
        <f>'[1]Mthly Detail'!AE70</f>
        <v>25090</v>
      </c>
      <c r="AF46" s="5">
        <f t="shared" si="3"/>
        <v>-14590</v>
      </c>
      <c r="AG46" s="1" t="s">
        <v>66</v>
      </c>
    </row>
    <row r="47" spans="1:33" x14ac:dyDescent="0.2">
      <c r="A47" s="6">
        <v>6370</v>
      </c>
      <c r="B47" s="7" t="s">
        <v>67</v>
      </c>
      <c r="C47" s="7"/>
      <c r="D47" s="21"/>
      <c r="E47" s="21"/>
      <c r="F47" s="21"/>
      <c r="G47" s="21"/>
      <c r="H47" s="33"/>
      <c r="I47" s="21"/>
      <c r="J47" s="21"/>
      <c r="K47" s="21"/>
      <c r="L47" s="33"/>
      <c r="M47" s="33"/>
      <c r="N47" s="33"/>
      <c r="O47" s="33"/>
      <c r="P47" s="33"/>
      <c r="Q47" s="33"/>
      <c r="R47" s="33"/>
      <c r="S47" s="33"/>
      <c r="T47" s="33">
        <v>2000</v>
      </c>
      <c r="U47" s="33"/>
      <c r="V47" s="33"/>
      <c r="W47" s="33"/>
      <c r="X47" s="33"/>
      <c r="Y47" s="33"/>
      <c r="Z47" s="33"/>
      <c r="AA47" s="33"/>
      <c r="AB47" s="33"/>
      <c r="AC47" s="21"/>
      <c r="AD47" s="21">
        <f t="shared" si="2"/>
        <v>2000</v>
      </c>
      <c r="AE47" s="4"/>
      <c r="AF47" s="5">
        <f t="shared" si="3"/>
        <v>2000</v>
      </c>
    </row>
    <row r="48" spans="1:33" x14ac:dyDescent="0.2">
      <c r="A48" s="6">
        <v>6370</v>
      </c>
      <c r="B48" s="7" t="s">
        <v>68</v>
      </c>
      <c r="C48" s="7"/>
      <c r="D48" s="21"/>
      <c r="E48" s="21"/>
      <c r="F48" s="21"/>
      <c r="G48" s="21"/>
      <c r="H48" s="33">
        <v>500</v>
      </c>
      <c r="I48" s="21"/>
      <c r="J48" s="21"/>
      <c r="K48" s="21"/>
      <c r="L48" s="33"/>
      <c r="M48" s="33"/>
      <c r="N48" s="33"/>
      <c r="O48" s="33"/>
      <c r="P48" s="33"/>
      <c r="Q48" s="33"/>
      <c r="R48" s="33"/>
      <c r="S48" s="33"/>
      <c r="T48" s="33">
        <v>10000</v>
      </c>
      <c r="U48" s="33"/>
      <c r="V48" s="33"/>
      <c r="W48" s="33"/>
      <c r="X48" s="33"/>
      <c r="Y48" s="33"/>
      <c r="Z48" s="33"/>
      <c r="AA48" s="33"/>
      <c r="AB48" s="33"/>
      <c r="AC48" s="21"/>
      <c r="AD48" s="21">
        <f t="shared" si="2"/>
        <v>10500</v>
      </c>
      <c r="AE48" s="4"/>
      <c r="AF48" s="5">
        <f t="shared" si="3"/>
        <v>10500</v>
      </c>
    </row>
    <row r="49" spans="1:32" x14ac:dyDescent="0.2">
      <c r="A49" s="6"/>
      <c r="B49" s="7"/>
      <c r="C49" s="7"/>
      <c r="D49" s="21"/>
      <c r="E49" s="21"/>
      <c r="F49" s="21"/>
      <c r="G49" s="21"/>
      <c r="H49" s="33"/>
      <c r="I49" s="21"/>
      <c r="J49" s="21"/>
      <c r="K49" s="21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21"/>
      <c r="AD49" s="21"/>
      <c r="AE49" s="4"/>
      <c r="AF49" s="5">
        <f t="shared" si="3"/>
        <v>0</v>
      </c>
    </row>
    <row r="50" spans="1:32" x14ac:dyDescent="0.2">
      <c r="A50" s="6">
        <v>6380</v>
      </c>
      <c r="B50" s="7" t="s">
        <v>69</v>
      </c>
      <c r="C50" s="7"/>
      <c r="D50" s="21"/>
      <c r="E50" s="21"/>
      <c r="F50" s="21"/>
      <c r="G50" s="21"/>
      <c r="I50" s="21"/>
      <c r="J50" s="21"/>
      <c r="K50" s="21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>
        <f>59625+2500</f>
        <v>62125</v>
      </c>
      <c r="Y50" s="33"/>
      <c r="Z50" s="33"/>
      <c r="AA50" s="33"/>
      <c r="AB50" s="33"/>
      <c r="AC50" s="21"/>
      <c r="AD50" s="21">
        <f t="shared" si="2"/>
        <v>62125</v>
      </c>
      <c r="AE50" s="4">
        <f>'[1]Mthly Detail'!AE71*0.12</f>
        <v>4983.12</v>
      </c>
      <c r="AF50" s="5">
        <f t="shared" si="3"/>
        <v>57141.88</v>
      </c>
    </row>
    <row r="51" spans="1:32" x14ac:dyDescent="0.2">
      <c r="A51" s="6">
        <v>6380</v>
      </c>
      <c r="B51" s="7" t="s">
        <v>70</v>
      </c>
      <c r="C51" s="7"/>
      <c r="D51" s="21"/>
      <c r="E51" s="21"/>
      <c r="F51" s="21"/>
      <c r="G51" s="21"/>
      <c r="H51" s="33"/>
      <c r="I51" s="21"/>
      <c r="J51" s="21"/>
      <c r="K51" s="21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>
        <v>30000</v>
      </c>
      <c r="AC51" s="21"/>
      <c r="AD51" s="21">
        <f t="shared" si="2"/>
        <v>30000</v>
      </c>
      <c r="AE51" s="4">
        <f>'[1]Mthly Detail'!AE71*0.59</f>
        <v>24500.34</v>
      </c>
      <c r="AF51" s="5">
        <f t="shared" si="3"/>
        <v>5499.66</v>
      </c>
    </row>
    <row r="52" spans="1:32" x14ac:dyDescent="0.2">
      <c r="A52" s="6">
        <v>6380</v>
      </c>
      <c r="B52" s="7" t="s">
        <v>71</v>
      </c>
      <c r="C52" s="7"/>
      <c r="D52" s="21"/>
      <c r="E52" s="21"/>
      <c r="F52" s="21"/>
      <c r="G52" s="21"/>
      <c r="H52" s="33">
        <v>33450</v>
      </c>
      <c r="I52" s="21"/>
      <c r="J52" s="21"/>
      <c r="K52" s="21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21"/>
      <c r="AD52" s="21">
        <f t="shared" si="2"/>
        <v>33450</v>
      </c>
      <c r="AE52" s="4">
        <f>'[1]Mthly Detail'!AE71*0.24</f>
        <v>9966.24</v>
      </c>
      <c r="AF52" s="5">
        <f t="shared" si="3"/>
        <v>23483.760000000002</v>
      </c>
    </row>
    <row r="53" spans="1:32" x14ac:dyDescent="0.2">
      <c r="A53" s="6">
        <v>6390</v>
      </c>
      <c r="B53" s="7" t="s">
        <v>72</v>
      </c>
      <c r="C53" s="7"/>
      <c r="D53" s="21"/>
      <c r="E53" s="21"/>
      <c r="F53" s="21">
        <v>6000</v>
      </c>
      <c r="G53" s="21"/>
      <c r="H53" s="33">
        <v>1000</v>
      </c>
      <c r="I53" s="21"/>
      <c r="J53" s="21"/>
      <c r="K53" s="21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21"/>
      <c r="AD53" s="21">
        <f t="shared" si="2"/>
        <v>7000</v>
      </c>
      <c r="AE53" s="4">
        <f>'[1]Mthly Detail'!AE73</f>
        <v>10663</v>
      </c>
      <c r="AF53" s="5">
        <f t="shared" si="3"/>
        <v>-3663</v>
      </c>
    </row>
    <row r="54" spans="1:32" x14ac:dyDescent="0.2">
      <c r="A54" s="6">
        <v>6380</v>
      </c>
      <c r="B54" s="37" t="s">
        <v>73</v>
      </c>
      <c r="C54" s="7"/>
      <c r="D54" s="21"/>
      <c r="E54" s="21"/>
      <c r="F54" s="21"/>
      <c r="G54" s="21"/>
      <c r="H54" s="33"/>
      <c r="I54" s="21"/>
      <c r="J54" s="21">
        <v>3500</v>
      </c>
      <c r="K54" s="21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>
        <v>500</v>
      </c>
      <c r="Y54" s="33"/>
      <c r="Z54" s="33"/>
      <c r="AA54" s="33"/>
      <c r="AB54" s="33"/>
      <c r="AC54" s="21"/>
      <c r="AD54" s="21">
        <f t="shared" si="2"/>
        <v>4000</v>
      </c>
      <c r="AE54" s="4"/>
      <c r="AF54" s="5">
        <f t="shared" si="3"/>
        <v>4000</v>
      </c>
    </row>
    <row r="55" spans="1:32" x14ac:dyDescent="0.2">
      <c r="A55" s="6">
        <v>7400</v>
      </c>
      <c r="B55" s="7" t="s">
        <v>74</v>
      </c>
      <c r="C55" s="7"/>
      <c r="D55" s="21"/>
      <c r="E55" s="21"/>
      <c r="F55" s="21"/>
      <c r="G55" s="21"/>
      <c r="H55" s="33"/>
      <c r="I55" s="21"/>
      <c r="J55" s="21"/>
      <c r="K55" s="21"/>
      <c r="L55" s="33">
        <v>261562</v>
      </c>
      <c r="M55" s="33"/>
      <c r="N55" s="33"/>
      <c r="O55" s="33"/>
      <c r="P55" s="33"/>
      <c r="Q55" s="33"/>
      <c r="R55" s="33"/>
      <c r="S55" s="33"/>
      <c r="T55" s="33">
        <v>3000</v>
      </c>
      <c r="U55" s="33"/>
      <c r="V55" s="33"/>
      <c r="W55" s="33"/>
      <c r="X55" s="33"/>
      <c r="Y55" s="33"/>
      <c r="Z55" s="33"/>
      <c r="AA55" s="33"/>
      <c r="AB55" s="33"/>
      <c r="AC55" s="21"/>
      <c r="AD55" s="21">
        <f t="shared" si="2"/>
        <v>264562</v>
      </c>
      <c r="AE55" s="4">
        <f>'[1]Mthly Detail'!AE75</f>
        <v>300112</v>
      </c>
      <c r="AF55" s="5">
        <f t="shared" si="3"/>
        <v>-35550</v>
      </c>
    </row>
    <row r="56" spans="1:32" x14ac:dyDescent="0.2">
      <c r="A56" s="6">
        <v>7410</v>
      </c>
      <c r="B56" s="7" t="s">
        <v>75</v>
      </c>
      <c r="C56" s="7"/>
      <c r="D56" s="21"/>
      <c r="E56" s="21"/>
      <c r="F56" s="21"/>
      <c r="G56" s="21"/>
      <c r="H56" s="33"/>
      <c r="I56" s="21"/>
      <c r="J56" s="21"/>
      <c r="K56" s="21"/>
      <c r="L56" s="33">
        <v>285000</v>
      </c>
      <c r="M56" s="33"/>
      <c r="N56" s="33"/>
      <c r="O56" s="33"/>
      <c r="P56" s="33">
        <v>28200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21"/>
      <c r="AD56" s="21">
        <f t="shared" si="2"/>
        <v>313200</v>
      </c>
      <c r="AE56" s="4">
        <f>'[1]Mthly Detail'!AE76</f>
        <v>223411</v>
      </c>
      <c r="AF56" s="5">
        <f t="shared" si="3"/>
        <v>89789</v>
      </c>
    </row>
    <row r="57" spans="1:32" x14ac:dyDescent="0.2">
      <c r="A57" s="6">
        <v>7430</v>
      </c>
      <c r="B57" s="37" t="s">
        <v>76</v>
      </c>
      <c r="C57" s="7"/>
      <c r="D57" s="21"/>
      <c r="E57" s="21"/>
      <c r="F57" s="21"/>
      <c r="G57" s="21"/>
      <c r="H57" s="33"/>
      <c r="I57" s="21"/>
      <c r="J57" s="21"/>
      <c r="K57" s="21"/>
      <c r="L57" s="33">
        <v>105000</v>
      </c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21"/>
      <c r="AD57" s="21">
        <f t="shared" si="2"/>
        <v>105000</v>
      </c>
      <c r="AE57" s="4">
        <f>'[1]Mthly Detail'!AE78</f>
        <v>22788</v>
      </c>
      <c r="AF57" s="5">
        <f t="shared" si="3"/>
        <v>82212</v>
      </c>
    </row>
    <row r="58" spans="1:32" x14ac:dyDescent="0.2">
      <c r="A58" s="6">
        <v>7420</v>
      </c>
      <c r="B58" s="7" t="s">
        <v>77</v>
      </c>
      <c r="C58" s="7"/>
      <c r="D58" s="21"/>
      <c r="E58" s="21"/>
      <c r="F58" s="21"/>
      <c r="G58" s="21"/>
      <c r="H58" s="33"/>
      <c r="I58" s="21"/>
      <c r="J58" s="21"/>
      <c r="K58" s="21"/>
      <c r="L58" s="33">
        <v>255481</v>
      </c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>
        <v>5000</v>
      </c>
      <c r="Y58" s="33"/>
      <c r="Z58" s="33"/>
      <c r="AA58" s="33"/>
      <c r="AB58" s="33"/>
      <c r="AC58" s="21"/>
      <c r="AD58" s="21">
        <f>SUM(D58:AB58)</f>
        <v>260481</v>
      </c>
      <c r="AE58" s="4">
        <f>'[1]Mthly Detail'!AE77</f>
        <v>181919</v>
      </c>
      <c r="AF58" s="5">
        <f t="shared" si="3"/>
        <v>78562</v>
      </c>
    </row>
    <row r="59" spans="1:32" x14ac:dyDescent="0.2">
      <c r="A59" s="6">
        <v>7470</v>
      </c>
      <c r="B59" s="7" t="s">
        <v>78</v>
      </c>
      <c r="C59" s="7"/>
      <c r="D59" s="21"/>
      <c r="E59" s="21"/>
      <c r="F59" s="21"/>
      <c r="G59" s="21"/>
      <c r="H59" s="33"/>
      <c r="I59" s="21"/>
      <c r="J59" s="21"/>
      <c r="K59" s="21"/>
      <c r="L59" s="33">
        <v>40000</v>
      </c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21"/>
      <c r="AD59" s="21">
        <f t="shared" si="2"/>
        <v>40000</v>
      </c>
      <c r="AE59" s="4">
        <f>'[1]Mthly Detail'!AE83</f>
        <v>20332</v>
      </c>
      <c r="AF59" s="5">
        <f t="shared" si="3"/>
        <v>19668</v>
      </c>
    </row>
    <row r="60" spans="1:32" x14ac:dyDescent="0.2">
      <c r="A60" s="6">
        <v>7435</v>
      </c>
      <c r="B60" s="7" t="s">
        <v>79</v>
      </c>
      <c r="C60" s="7"/>
      <c r="D60" s="21"/>
      <c r="E60" s="21"/>
      <c r="F60" s="21"/>
      <c r="G60" s="21"/>
      <c r="H60" s="33"/>
      <c r="I60" s="21"/>
      <c r="J60" s="21"/>
      <c r="K60" s="21"/>
      <c r="L60" s="33">
        <v>39000</v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21"/>
      <c r="AD60" s="21">
        <f t="shared" si="2"/>
        <v>39000</v>
      </c>
      <c r="AE60" s="4">
        <f>'[1]Mthly Detail'!AE79</f>
        <v>22525</v>
      </c>
      <c r="AF60" s="5">
        <f t="shared" si="3"/>
        <v>16475</v>
      </c>
    </row>
    <row r="61" spans="1:32" x14ac:dyDescent="0.2">
      <c r="A61" s="6">
        <v>7440</v>
      </c>
      <c r="B61" s="7" t="s">
        <v>80</v>
      </c>
      <c r="C61" s="7"/>
      <c r="D61" s="21"/>
      <c r="E61" s="21"/>
      <c r="F61" s="21"/>
      <c r="G61" s="21"/>
      <c r="H61" s="33"/>
      <c r="I61" s="21"/>
      <c r="J61" s="21"/>
      <c r="K61" s="21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21"/>
      <c r="AD61" s="21">
        <f t="shared" si="2"/>
        <v>0</v>
      </c>
      <c r="AE61" s="4">
        <f>'[1]Mthly Detail'!AE80</f>
        <v>60200</v>
      </c>
      <c r="AF61" s="5">
        <f t="shared" si="3"/>
        <v>-60200</v>
      </c>
    </row>
    <row r="62" spans="1:32" x14ac:dyDescent="0.2">
      <c r="A62" s="6">
        <v>7450</v>
      </c>
      <c r="B62" s="7" t="s">
        <v>81</v>
      </c>
      <c r="C62" s="7"/>
      <c r="D62" s="21"/>
      <c r="E62" s="21"/>
      <c r="F62" s="21"/>
      <c r="G62" s="21"/>
      <c r="H62" s="33"/>
      <c r="I62" s="21"/>
      <c r="J62" s="21">
        <v>1200</v>
      </c>
      <c r="K62" s="21"/>
      <c r="L62" s="33">
        <v>10000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21"/>
      <c r="AD62" s="21">
        <f t="shared" si="2"/>
        <v>11200</v>
      </c>
      <c r="AE62" s="4">
        <f>'[1]Mthly Detail'!AE81</f>
        <v>14346</v>
      </c>
      <c r="AF62" s="5">
        <f t="shared" si="3"/>
        <v>-3146</v>
      </c>
    </row>
    <row r="63" spans="1:32" x14ac:dyDescent="0.2">
      <c r="A63" s="6">
        <v>8630</v>
      </c>
      <c r="B63" s="7" t="s">
        <v>82</v>
      </c>
      <c r="C63" s="7"/>
      <c r="D63" s="21"/>
      <c r="E63" s="21"/>
      <c r="F63" s="21"/>
      <c r="G63" s="21"/>
      <c r="H63" s="33"/>
      <c r="I63" s="21"/>
      <c r="J63" s="21"/>
      <c r="K63" s="21"/>
      <c r="L63" s="33"/>
      <c r="M63" s="33"/>
      <c r="N63" s="33">
        <v>182100</v>
      </c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21"/>
      <c r="AD63" s="21">
        <f t="shared" si="2"/>
        <v>182100</v>
      </c>
      <c r="AE63" s="4">
        <f>'[1]Mthly Detail'!AE97</f>
        <v>147043</v>
      </c>
      <c r="AF63" s="5">
        <f t="shared" si="3"/>
        <v>35057</v>
      </c>
    </row>
    <row r="64" spans="1:32" x14ac:dyDescent="0.2">
      <c r="A64" s="6">
        <v>9920</v>
      </c>
      <c r="B64" s="37" t="s">
        <v>83</v>
      </c>
      <c r="C64" s="7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>
        <v>125000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>
        <f t="shared" si="2"/>
        <v>125000</v>
      </c>
      <c r="AE64" s="4">
        <f>'[1]Mthly Detail'!AE103</f>
        <v>139212.18</v>
      </c>
      <c r="AF64" s="5">
        <f t="shared" si="3"/>
        <v>-14212.179999999993</v>
      </c>
    </row>
    <row r="65" spans="1:34" x14ac:dyDescent="0.2">
      <c r="A65" s="6">
        <v>8600</v>
      </c>
      <c r="B65" s="7" t="s">
        <v>84</v>
      </c>
      <c r="C65" s="7"/>
      <c r="D65" s="21"/>
      <c r="E65" s="21"/>
      <c r="F65" s="21"/>
      <c r="G65" s="21"/>
      <c r="H65" s="33"/>
      <c r="I65" s="21"/>
      <c r="J65" s="21"/>
      <c r="K65" s="21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>
        <v>25000</v>
      </c>
      <c r="W65" s="33"/>
      <c r="X65" s="33"/>
      <c r="Y65" s="33"/>
      <c r="Z65" s="33"/>
      <c r="AA65" s="33"/>
      <c r="AB65" s="33"/>
      <c r="AC65" s="21"/>
      <c r="AD65" s="21">
        <f t="shared" si="2"/>
        <v>25000</v>
      </c>
      <c r="AE65" s="4">
        <f>'[1]Mthly Detail'!AE94</f>
        <v>19199</v>
      </c>
      <c r="AF65" s="5">
        <f t="shared" si="3"/>
        <v>5801</v>
      </c>
    </row>
    <row r="66" spans="1:34" x14ac:dyDescent="0.2">
      <c r="A66" s="6">
        <v>8610</v>
      </c>
      <c r="B66" s="7" t="s">
        <v>85</v>
      </c>
      <c r="C66" s="7"/>
      <c r="D66" s="21"/>
      <c r="E66" s="21"/>
      <c r="F66" s="21"/>
      <c r="G66" s="21"/>
      <c r="H66" s="33"/>
      <c r="I66" s="21"/>
      <c r="J66" s="21"/>
      <c r="K66" s="21"/>
      <c r="L66" s="33"/>
      <c r="M66" s="33"/>
      <c r="N66" s="33">
        <v>118450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21"/>
      <c r="AD66" s="21">
        <f t="shared" si="2"/>
        <v>118450</v>
      </c>
      <c r="AE66" s="4">
        <f>'[1]Mthly Detail'!AE95</f>
        <v>98070</v>
      </c>
      <c r="AF66" s="5">
        <f t="shared" si="3"/>
        <v>20380</v>
      </c>
    </row>
    <row r="67" spans="1:34" x14ac:dyDescent="0.2">
      <c r="A67" s="6">
        <v>8640</v>
      </c>
      <c r="B67" s="37" t="s">
        <v>86</v>
      </c>
      <c r="C67" s="7"/>
      <c r="D67" s="21"/>
      <c r="E67" s="21"/>
      <c r="F67" s="21"/>
      <c r="G67" s="21"/>
      <c r="H67" s="33"/>
      <c r="I67" s="21"/>
      <c r="J67" s="21"/>
      <c r="K67" s="21"/>
      <c r="L67" s="33"/>
      <c r="M67" s="33"/>
      <c r="N67" s="33">
        <v>400000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21"/>
      <c r="AD67" s="21">
        <f t="shared" si="2"/>
        <v>400000</v>
      </c>
      <c r="AE67" s="4">
        <f>'[1]Mthly Detail'!AE98</f>
        <v>399999</v>
      </c>
      <c r="AF67" s="5">
        <f t="shared" si="3"/>
        <v>1</v>
      </c>
    </row>
    <row r="68" spans="1:34" x14ac:dyDescent="0.2">
      <c r="A68" s="6">
        <v>8660</v>
      </c>
      <c r="B68" s="7" t="s">
        <v>87</v>
      </c>
      <c r="C68" s="7"/>
      <c r="D68" s="21"/>
      <c r="E68" s="21"/>
      <c r="F68" s="21"/>
      <c r="G68" s="21"/>
      <c r="H68" s="33"/>
      <c r="I68" s="21"/>
      <c r="J68" s="21"/>
      <c r="K68" s="21"/>
      <c r="L68" s="33"/>
      <c r="M68" s="33"/>
      <c r="N68" s="33">
        <v>135000</v>
      </c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21"/>
      <c r="AD68" s="21">
        <f t="shared" si="2"/>
        <v>135000</v>
      </c>
      <c r="AE68" s="4">
        <f>'[1]Mthly Detail'!AE100</f>
        <v>69470</v>
      </c>
      <c r="AF68" s="5">
        <f t="shared" si="3"/>
        <v>65530</v>
      </c>
    </row>
    <row r="69" spans="1:34" x14ac:dyDescent="0.2">
      <c r="A69" s="6">
        <v>7460</v>
      </c>
      <c r="B69" s="7" t="s">
        <v>88</v>
      </c>
      <c r="C69" s="7"/>
      <c r="D69" s="21"/>
      <c r="E69" s="21"/>
      <c r="F69" s="21"/>
      <c r="G69" s="21"/>
      <c r="H69" s="33"/>
      <c r="I69" s="21"/>
      <c r="J69" s="21"/>
      <c r="K69" s="21"/>
      <c r="L69" s="33">
        <v>340000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21"/>
      <c r="AD69" s="21">
        <f t="shared" si="2"/>
        <v>340000</v>
      </c>
      <c r="AE69" s="4">
        <f>'[1]Mthly Detail'!AE82</f>
        <v>264405</v>
      </c>
      <c r="AF69" s="5">
        <f t="shared" si="3"/>
        <v>75595</v>
      </c>
    </row>
    <row r="70" spans="1:34" x14ac:dyDescent="0.2">
      <c r="A70" s="6">
        <v>8520</v>
      </c>
      <c r="B70" s="37" t="s">
        <v>89</v>
      </c>
      <c r="C70" s="7"/>
      <c r="D70" s="21"/>
      <c r="E70" s="21"/>
      <c r="F70" s="21"/>
      <c r="G70" s="21"/>
      <c r="H70" s="33"/>
      <c r="I70" s="21"/>
      <c r="J70" s="21"/>
      <c r="K70" s="21"/>
      <c r="L70" s="33">
        <f>75000*1.03</f>
        <v>77250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21"/>
      <c r="AD70" s="21">
        <f t="shared" si="2"/>
        <v>77250</v>
      </c>
      <c r="AE70" s="4">
        <f>'[1]Mthly Detail'!AE92</f>
        <v>85771</v>
      </c>
      <c r="AF70" s="5">
        <f t="shared" si="3"/>
        <v>-8521</v>
      </c>
    </row>
    <row r="71" spans="1:34" x14ac:dyDescent="0.2">
      <c r="A71" s="6">
        <v>7480</v>
      </c>
      <c r="B71" s="7" t="s">
        <v>90</v>
      </c>
      <c r="C71" s="7"/>
      <c r="D71" s="21"/>
      <c r="E71" s="21"/>
      <c r="F71" s="21"/>
      <c r="G71" s="21"/>
      <c r="H71" s="33"/>
      <c r="I71" s="21"/>
      <c r="J71" s="21"/>
      <c r="K71" s="21"/>
      <c r="L71" s="33">
        <v>12000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21"/>
      <c r="AD71" s="21">
        <f t="shared" si="2"/>
        <v>12000</v>
      </c>
      <c r="AE71" s="4">
        <f>'[1]Mthly Detail'!AE84</f>
        <v>11000</v>
      </c>
      <c r="AF71" s="5">
        <f t="shared" si="3"/>
        <v>1000</v>
      </c>
    </row>
    <row r="72" spans="1:34" x14ac:dyDescent="0.2">
      <c r="A72" s="6">
        <v>6380</v>
      </c>
      <c r="B72" s="7" t="s">
        <v>91</v>
      </c>
      <c r="C72" s="7"/>
      <c r="D72" s="21"/>
      <c r="E72" s="21"/>
      <c r="F72" s="21"/>
      <c r="G72" s="21"/>
      <c r="H72" s="33"/>
      <c r="I72" s="21"/>
      <c r="J72" s="21"/>
      <c r="K72" s="21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21"/>
      <c r="AD72" s="21">
        <f t="shared" si="2"/>
        <v>0</v>
      </c>
      <c r="AE72" s="4"/>
      <c r="AF72" s="5">
        <f t="shared" si="3"/>
        <v>0</v>
      </c>
    </row>
    <row r="73" spans="1:34" x14ac:dyDescent="0.2">
      <c r="A73" s="6">
        <v>6385</v>
      </c>
      <c r="B73" s="7" t="s">
        <v>92</v>
      </c>
      <c r="C73" s="7"/>
      <c r="D73" s="21"/>
      <c r="E73" s="21"/>
      <c r="F73" s="21"/>
      <c r="G73" s="21"/>
      <c r="H73" s="21"/>
      <c r="I73" s="21"/>
      <c r="J73" s="21"/>
      <c r="K73" s="21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>
        <v>1500</v>
      </c>
      <c r="W73" s="33"/>
      <c r="X73" s="33"/>
      <c r="Y73" s="33"/>
      <c r="Z73" s="33"/>
      <c r="AA73" s="33"/>
      <c r="AB73" s="33"/>
      <c r="AC73" s="21"/>
      <c r="AD73" s="21">
        <f t="shared" si="2"/>
        <v>1500</v>
      </c>
      <c r="AE73" s="4">
        <f>'[1]Mthly Detail'!AE72</f>
        <v>100382</v>
      </c>
      <c r="AF73" s="5">
        <f t="shared" si="3"/>
        <v>-98882</v>
      </c>
    </row>
    <row r="74" spans="1:34" x14ac:dyDescent="0.2">
      <c r="A74" s="6">
        <v>6301</v>
      </c>
      <c r="B74" s="37" t="s">
        <v>93</v>
      </c>
      <c r="C74" s="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>
        <f t="shared" si="2"/>
        <v>0</v>
      </c>
      <c r="AE74" s="4">
        <f>'[1]Mthly Detail'!AE61</f>
        <v>7000</v>
      </c>
      <c r="AF74" s="5">
        <f t="shared" si="3"/>
        <v>-7000</v>
      </c>
    </row>
    <row r="75" spans="1:34" x14ac:dyDescent="0.2">
      <c r="A75" s="6">
        <v>6399</v>
      </c>
      <c r="B75" s="37" t="s">
        <v>94</v>
      </c>
      <c r="C75" s="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>
        <f t="shared" ref="AD75" si="4">SUM(D75:AB75)</f>
        <v>0</v>
      </c>
      <c r="AE75" s="4"/>
    </row>
    <row r="76" spans="1:34" x14ac:dyDescent="0.2">
      <c r="A76" s="6"/>
      <c r="B76" s="37" t="s">
        <v>95</v>
      </c>
      <c r="C76" s="7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>
        <f t="shared" si="2"/>
        <v>0</v>
      </c>
      <c r="AE76" s="4">
        <f>'[1]Mthly Detail'!AE88</f>
        <v>1756</v>
      </c>
      <c r="AF76" s="5">
        <f>+AD76-AE76</f>
        <v>-1756</v>
      </c>
    </row>
    <row r="77" spans="1:34" x14ac:dyDescent="0.2">
      <c r="A77" s="6"/>
      <c r="B77" s="37"/>
      <c r="C77" s="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4"/>
    </row>
    <row r="78" spans="1:34" s="44" customFormat="1" x14ac:dyDescent="0.2">
      <c r="A78" s="40"/>
      <c r="B78" s="41"/>
      <c r="C78" s="42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43"/>
      <c r="AF78" s="43"/>
    </row>
    <row r="79" spans="1:34" x14ac:dyDescent="0.2">
      <c r="A79" s="22"/>
      <c r="B79" s="17" t="s">
        <v>96</v>
      </c>
      <c r="C79" s="24"/>
      <c r="D79" s="26">
        <f>SUM(D19:D73)</f>
        <v>37250</v>
      </c>
      <c r="E79" s="26"/>
      <c r="F79" s="26">
        <f>SUM(F19:F73)</f>
        <v>132700</v>
      </c>
      <c r="G79" s="26"/>
      <c r="H79" s="26">
        <f>SUM(H19:H73)</f>
        <v>157160</v>
      </c>
      <c r="I79" s="26"/>
      <c r="J79" s="26">
        <f>SUM(J19:J73)</f>
        <v>92000</v>
      </c>
      <c r="K79" s="26"/>
      <c r="L79" s="26">
        <f>SUM(L19:L78)</f>
        <v>2416047</v>
      </c>
      <c r="M79" s="26"/>
      <c r="N79" s="26">
        <f>SUM(N19:N73)</f>
        <v>965050</v>
      </c>
      <c r="O79" s="26"/>
      <c r="P79" s="26">
        <f>SUM(P19:P73)</f>
        <v>61700</v>
      </c>
      <c r="Q79" s="26"/>
      <c r="R79" s="26">
        <f>SUM(R19:R73)</f>
        <v>135500</v>
      </c>
      <c r="S79" s="26"/>
      <c r="T79" s="26">
        <f>SUM(T19:T73)</f>
        <v>30100</v>
      </c>
      <c r="U79" s="26"/>
      <c r="V79" s="26">
        <f>SUM(V19:V73)</f>
        <v>179400</v>
      </c>
      <c r="W79" s="26"/>
      <c r="X79" s="26">
        <f>SUM(X19:X73)</f>
        <v>74025</v>
      </c>
      <c r="Y79" s="26"/>
      <c r="Z79" s="26">
        <f>SUM(Z19:Z76)</f>
        <v>93962</v>
      </c>
      <c r="AA79" s="26"/>
      <c r="AB79" s="26">
        <f>SUM(AB19:AB78)</f>
        <v>44050</v>
      </c>
      <c r="AC79" s="26"/>
      <c r="AD79" s="26">
        <f>SUM(AD19:AD78)</f>
        <v>4418944</v>
      </c>
      <c r="AE79" s="45">
        <f>SUM(AE19:AE77)</f>
        <v>4303014.8800000008</v>
      </c>
      <c r="AF79" s="28">
        <f>+AD79-AE79</f>
        <v>115929.11999999918</v>
      </c>
      <c r="AG79" s="29"/>
      <c r="AH79" s="29"/>
    </row>
    <row r="80" spans="1:34" x14ac:dyDescent="0.2">
      <c r="A80" s="6"/>
      <c r="B80" s="7"/>
      <c r="C80" s="7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4"/>
    </row>
    <row r="81" spans="1:33" ht="15.75" x14ac:dyDescent="0.25">
      <c r="A81" s="6"/>
      <c r="B81" s="30"/>
      <c r="C81" s="7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4"/>
    </row>
    <row r="82" spans="1:33" x14ac:dyDescent="0.2">
      <c r="A82" s="6"/>
      <c r="B82" s="34" t="s">
        <v>97</v>
      </c>
      <c r="C82" s="7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4"/>
    </row>
    <row r="83" spans="1:33" x14ac:dyDescent="0.2">
      <c r="A83" s="6">
        <v>5000</v>
      </c>
      <c r="B83" s="7" t="s">
        <v>98</v>
      </c>
      <c r="C83" s="7"/>
      <c r="D83" s="21" t="e">
        <f>SUM(#REF!+#REF!+#REF!)</f>
        <v>#REF!</v>
      </c>
      <c r="E83" s="21"/>
      <c r="F83" s="21" t="e">
        <f>#REF!-#REF!-#REF!-#REF!-#REF!-#REF!-#REF!</f>
        <v>#REF!</v>
      </c>
      <c r="G83" s="21"/>
      <c r="H83" s="21" t="e">
        <f>#REF!-#REF!-#REF!-#REF!-#REF!</f>
        <v>#REF!</v>
      </c>
      <c r="I83" s="21"/>
      <c r="J83" s="21" t="e">
        <f>#REF!-#REF!-#REF!</f>
        <v>#REF!</v>
      </c>
      <c r="K83" s="21"/>
      <c r="L83" s="21" t="e">
        <f>#REF!-#REF!-#REF!</f>
        <v>#REF!</v>
      </c>
      <c r="M83" s="21"/>
      <c r="N83" s="21" t="e">
        <f>#REF!-#REF!</f>
        <v>#REF!</v>
      </c>
      <c r="O83" s="21"/>
      <c r="P83" s="21" t="e">
        <f>#REF!+#REF!</f>
        <v>#REF!</v>
      </c>
      <c r="Q83" s="21"/>
      <c r="R83" s="21" t="e">
        <f>#REF!-#REF!</f>
        <v>#REF!</v>
      </c>
      <c r="S83" s="21"/>
      <c r="T83" s="21" t="e">
        <f>#REF!</f>
        <v>#REF!</v>
      </c>
      <c r="U83" s="21"/>
      <c r="V83" s="21" t="e">
        <f>#REF!-#REF!-#REF!-#REF!</f>
        <v>#REF!</v>
      </c>
      <c r="W83" s="21"/>
      <c r="X83" s="21" t="e">
        <f>#REF!-#REF!</f>
        <v>#REF!</v>
      </c>
      <c r="Y83" s="21"/>
      <c r="Z83" s="21" t="e">
        <f>#REF!+#REF!</f>
        <v>#REF!</v>
      </c>
      <c r="AA83" s="21"/>
      <c r="AB83" s="21" t="e">
        <f>#REF!</f>
        <v>#REF!</v>
      </c>
      <c r="AC83" s="21"/>
      <c r="AD83" s="21">
        <v>6998081</v>
      </c>
      <c r="AE83" s="46">
        <f>'[1]Mthly Detail'!AE37</f>
        <v>6876812</v>
      </c>
      <c r="AF83" s="5">
        <f t="shared" ref="AF83:AF92" si="5">+AD83-AE83</f>
        <v>121269</v>
      </c>
    </row>
    <row r="84" spans="1:33" x14ac:dyDescent="0.2">
      <c r="A84" s="6">
        <v>5015</v>
      </c>
      <c r="B84" s="7" t="s">
        <v>99</v>
      </c>
      <c r="C84" s="7"/>
      <c r="D84" s="21" t="e">
        <f>#REF!</f>
        <v>#REF!</v>
      </c>
      <c r="E84" s="21"/>
      <c r="F84" s="21" t="e">
        <f>#REF!</f>
        <v>#REF!</v>
      </c>
      <c r="G84" s="21"/>
      <c r="H84" s="21" t="e">
        <f>#REF!</f>
        <v>#REF!</v>
      </c>
      <c r="I84" s="21"/>
      <c r="J84" s="21">
        <v>0</v>
      </c>
      <c r="K84" s="21"/>
      <c r="L84" s="21">
        <v>0</v>
      </c>
      <c r="M84" s="21"/>
      <c r="N84" s="21">
        <v>0</v>
      </c>
      <c r="O84" s="21"/>
      <c r="P84" s="21">
        <v>0</v>
      </c>
      <c r="Q84" s="21"/>
      <c r="R84" s="21">
        <v>0</v>
      </c>
      <c r="S84" s="21"/>
      <c r="T84" s="21">
        <v>0</v>
      </c>
      <c r="U84" s="21"/>
      <c r="V84" s="21"/>
      <c r="W84" s="21"/>
      <c r="X84" s="21">
        <v>0</v>
      </c>
      <c r="Y84" s="21"/>
      <c r="Z84" s="21">
        <v>0</v>
      </c>
      <c r="AA84" s="21"/>
      <c r="AB84" s="21">
        <v>0</v>
      </c>
      <c r="AC84" s="21"/>
      <c r="AD84" s="21">
        <v>70000</v>
      </c>
      <c r="AE84" s="46">
        <f>'[1]Mthly Detail'!AE39</f>
        <v>78665</v>
      </c>
      <c r="AF84" s="5">
        <f t="shared" si="5"/>
        <v>-8665</v>
      </c>
    </row>
    <row r="85" spans="1:33" x14ac:dyDescent="0.2">
      <c r="A85" s="6">
        <v>5010</v>
      </c>
      <c r="B85" s="7" t="s">
        <v>100</v>
      </c>
      <c r="C85" s="7"/>
      <c r="D85" s="21" t="e">
        <f>#REF!</f>
        <v>#REF!</v>
      </c>
      <c r="E85" s="21"/>
      <c r="F85" s="21" t="e">
        <f>#REF!</f>
        <v>#REF!</v>
      </c>
      <c r="G85" s="21"/>
      <c r="H85" s="21" t="e">
        <f>#REF!</f>
        <v>#REF!</v>
      </c>
      <c r="I85" s="21"/>
      <c r="J85" s="21" t="e">
        <f>#REF!</f>
        <v>#REF!</v>
      </c>
      <c r="K85" s="21"/>
      <c r="L85" s="21" t="e">
        <f>#REF!</f>
        <v>#REF!</v>
      </c>
      <c r="M85" s="21"/>
      <c r="N85" s="21" t="e">
        <f>#REF!</f>
        <v>#REF!</v>
      </c>
      <c r="O85" s="21"/>
      <c r="P85" s="21" t="e">
        <f>#REF!</f>
        <v>#REF!</v>
      </c>
      <c r="Q85" s="21"/>
      <c r="R85" s="21" t="e">
        <f>#REF!</f>
        <v>#REF!</v>
      </c>
      <c r="S85" s="21"/>
      <c r="T85" s="21" t="e">
        <f>#REF!</f>
        <v>#REF!</v>
      </c>
      <c r="U85" s="21"/>
      <c r="V85" s="21" t="e">
        <f>#REF!</f>
        <v>#REF!</v>
      </c>
      <c r="W85" s="21"/>
      <c r="X85" s="21" t="e">
        <f>#REF!</f>
        <v>#REF!</v>
      </c>
      <c r="Y85" s="21"/>
      <c r="Z85" s="21">
        <v>0</v>
      </c>
      <c r="AA85" s="21"/>
      <c r="AB85" s="21">
        <v>0</v>
      </c>
      <c r="AC85" s="21"/>
      <c r="AD85" s="21">
        <v>70538</v>
      </c>
      <c r="AE85" s="46">
        <f>'[1]Mthly Detail'!AE38</f>
        <v>82408</v>
      </c>
      <c r="AF85" s="5">
        <f t="shared" si="5"/>
        <v>-11870</v>
      </c>
    </row>
    <row r="86" spans="1:33" x14ac:dyDescent="0.2">
      <c r="A86" s="6">
        <v>5020</v>
      </c>
      <c r="B86" s="37" t="s">
        <v>101</v>
      </c>
      <c r="C86" s="7"/>
      <c r="D86" s="21" t="e">
        <f>#REF!</f>
        <v>#REF!</v>
      </c>
      <c r="E86" s="21"/>
      <c r="F86" s="21" t="e">
        <f>#REF!</f>
        <v>#REF!</v>
      </c>
      <c r="G86" s="21"/>
      <c r="H86" s="21">
        <v>0</v>
      </c>
      <c r="I86" s="21"/>
      <c r="J86" s="21">
        <v>0</v>
      </c>
      <c r="K86" s="21"/>
      <c r="L86" s="21">
        <v>0</v>
      </c>
      <c r="M86" s="21"/>
      <c r="N86" s="21">
        <v>0</v>
      </c>
      <c r="O86" s="21"/>
      <c r="P86" s="21">
        <v>0</v>
      </c>
      <c r="Q86" s="21"/>
      <c r="R86" s="21">
        <v>0</v>
      </c>
      <c r="S86" s="21"/>
      <c r="T86" s="21">
        <v>0</v>
      </c>
      <c r="U86" s="21"/>
      <c r="V86" s="21">
        <v>0</v>
      </c>
      <c r="W86" s="21"/>
      <c r="X86" s="21">
        <v>0</v>
      </c>
      <c r="Y86" s="21"/>
      <c r="Z86" s="21">
        <v>0</v>
      </c>
      <c r="AA86" s="21"/>
      <c r="AB86" s="21">
        <v>0</v>
      </c>
      <c r="AC86" s="21"/>
      <c r="AD86" s="21">
        <v>23000</v>
      </c>
      <c r="AE86" s="46">
        <f>'[1]Mthly Detail'!AE40</f>
        <v>31500</v>
      </c>
      <c r="AF86" s="5">
        <f t="shared" si="5"/>
        <v>-8500</v>
      </c>
    </row>
    <row r="87" spans="1:33" x14ac:dyDescent="0.2">
      <c r="A87" s="6">
        <v>5030</v>
      </c>
      <c r="B87" s="37" t="s">
        <v>102</v>
      </c>
      <c r="C87" s="7"/>
      <c r="D87" s="21" t="e">
        <f>#REF!</f>
        <v>#REF!</v>
      </c>
      <c r="E87" s="21"/>
      <c r="F87" s="21" t="e">
        <f>#REF!</f>
        <v>#REF!</v>
      </c>
      <c r="G87" s="21"/>
      <c r="H87" s="21" t="e">
        <f>#REF!</f>
        <v>#REF!</v>
      </c>
      <c r="I87" s="21"/>
      <c r="J87" s="21" t="e">
        <f>#REF!</f>
        <v>#REF!</v>
      </c>
      <c r="K87" s="21"/>
      <c r="L87" s="21" t="e">
        <f>#REF!</f>
        <v>#REF!</v>
      </c>
      <c r="M87" s="21"/>
      <c r="N87" s="21">
        <v>0</v>
      </c>
      <c r="O87" s="21"/>
      <c r="P87" s="21">
        <v>0</v>
      </c>
      <c r="Q87" s="21"/>
      <c r="R87" s="21">
        <v>0</v>
      </c>
      <c r="S87" s="21"/>
      <c r="T87" s="21">
        <v>0</v>
      </c>
      <c r="U87" s="21"/>
      <c r="V87" s="35" t="e">
        <f>#REF!+#REF!</f>
        <v>#REF!</v>
      </c>
      <c r="W87" s="21"/>
      <c r="X87" s="21" t="e">
        <f>#REF!</f>
        <v>#REF!</v>
      </c>
      <c r="Y87" s="21"/>
      <c r="Z87" s="21">
        <v>0</v>
      </c>
      <c r="AA87" s="21"/>
      <c r="AB87" s="21" t="e">
        <f>#REF!</f>
        <v>#REF!</v>
      </c>
      <c r="AC87" s="21"/>
      <c r="AD87" s="21">
        <v>73155</v>
      </c>
      <c r="AE87" s="46">
        <f>'[1]Mthly Detail'!AE41</f>
        <v>192685</v>
      </c>
      <c r="AF87" s="5">
        <f t="shared" si="5"/>
        <v>-119530</v>
      </c>
    </row>
    <row r="88" spans="1:33" x14ac:dyDescent="0.2">
      <c r="A88" s="6">
        <v>5220</v>
      </c>
      <c r="B88" s="7" t="s">
        <v>103</v>
      </c>
      <c r="C88" s="7"/>
      <c r="D88" s="21" t="e">
        <f>#REF!</f>
        <v>#REF!</v>
      </c>
      <c r="E88" s="21"/>
      <c r="F88" s="21" t="e">
        <f>#REF!</f>
        <v>#REF!</v>
      </c>
      <c r="G88" s="21"/>
      <c r="H88" s="33" t="e">
        <f>#REF!</f>
        <v>#REF!</v>
      </c>
      <c r="I88" s="21"/>
      <c r="J88" s="21">
        <v>0</v>
      </c>
      <c r="K88" s="21"/>
      <c r="L88" s="21">
        <v>0</v>
      </c>
      <c r="M88" s="33"/>
      <c r="N88" s="21">
        <v>0</v>
      </c>
      <c r="O88" s="33"/>
      <c r="P88" s="33" t="e">
        <f>#REF!</f>
        <v>#REF!</v>
      </c>
      <c r="Q88" s="33"/>
      <c r="R88" s="33">
        <v>0</v>
      </c>
      <c r="S88" s="33"/>
      <c r="T88" s="33" t="e">
        <f>#REF!</f>
        <v>#REF!</v>
      </c>
      <c r="U88" s="33"/>
      <c r="V88" s="33">
        <v>0</v>
      </c>
      <c r="W88" s="33"/>
      <c r="X88" s="33">
        <v>0</v>
      </c>
      <c r="Y88" s="33"/>
      <c r="Z88" s="33" t="e">
        <f>#REF!</f>
        <v>#REF!</v>
      </c>
      <c r="AA88" s="33"/>
      <c r="AB88" s="33">
        <v>0</v>
      </c>
      <c r="AC88" s="21"/>
      <c r="AD88" s="21">
        <v>11262</v>
      </c>
      <c r="AE88" s="46">
        <f>'[1]Mthly Detail'!AE51</f>
        <v>9658</v>
      </c>
      <c r="AF88" s="5">
        <f t="shared" si="5"/>
        <v>1604</v>
      </c>
    </row>
    <row r="89" spans="1:33" x14ac:dyDescent="0.2">
      <c r="A89" s="6">
        <v>5200</v>
      </c>
      <c r="B89" s="7" t="s">
        <v>104</v>
      </c>
      <c r="C89" s="7"/>
      <c r="D89" s="21" t="e">
        <f>#REF!</f>
        <v>#REF!</v>
      </c>
      <c r="E89" s="21"/>
      <c r="F89" s="21" t="e">
        <f>#REF!</f>
        <v>#REF!</v>
      </c>
      <c r="G89" s="21"/>
      <c r="H89" s="33" t="e">
        <f>#REF!</f>
        <v>#REF!</v>
      </c>
      <c r="I89" s="21"/>
      <c r="J89" s="21" t="e">
        <f>#REF!</f>
        <v>#REF!</v>
      </c>
      <c r="K89" s="21"/>
      <c r="L89" s="33" t="e">
        <f>#REF!</f>
        <v>#REF!</v>
      </c>
      <c r="M89" s="33"/>
      <c r="N89" s="33" t="e">
        <f>#REF!</f>
        <v>#REF!</v>
      </c>
      <c r="O89" s="33"/>
      <c r="P89" s="33" t="e">
        <f>#REF!</f>
        <v>#REF!</v>
      </c>
      <c r="Q89" s="33"/>
      <c r="R89" s="33" t="e">
        <f>#REF!</f>
        <v>#REF!</v>
      </c>
      <c r="S89" s="33"/>
      <c r="T89" s="33" t="e">
        <f>#REF!</f>
        <v>#REF!</v>
      </c>
      <c r="U89" s="33"/>
      <c r="V89" s="33" t="e">
        <f>#REF!</f>
        <v>#REF!</v>
      </c>
      <c r="W89" s="33"/>
      <c r="X89" s="33" t="e">
        <f>#REF!</f>
        <v>#REF!</v>
      </c>
      <c r="Y89" s="33"/>
      <c r="Z89" s="33" t="e">
        <f>#REF!</f>
        <v>#REF!</v>
      </c>
      <c r="AA89" s="33"/>
      <c r="AB89" s="33" t="e">
        <f>#REF!</f>
        <v>#REF!</v>
      </c>
      <c r="AC89" s="21"/>
      <c r="AD89" s="21">
        <v>80500</v>
      </c>
      <c r="AE89" s="46">
        <f>'[1]Mthly Detail'!AE49</f>
        <v>143317</v>
      </c>
      <c r="AF89" s="5">
        <f t="shared" si="5"/>
        <v>-62817</v>
      </c>
      <c r="AG89" s="1" t="s">
        <v>105</v>
      </c>
    </row>
    <row r="90" spans="1:33" x14ac:dyDescent="0.2">
      <c r="A90" s="6">
        <v>5210</v>
      </c>
      <c r="B90" s="7" t="s">
        <v>106</v>
      </c>
      <c r="C90" s="7"/>
      <c r="D90" s="21" t="e">
        <f>#REF!</f>
        <v>#REF!</v>
      </c>
      <c r="E90" s="21"/>
      <c r="F90" s="21">
        <v>0</v>
      </c>
      <c r="G90" s="21"/>
      <c r="H90" s="21">
        <v>0</v>
      </c>
      <c r="I90" s="21"/>
      <c r="J90" s="21">
        <v>0</v>
      </c>
      <c r="K90" s="21"/>
      <c r="L90" s="33">
        <v>0</v>
      </c>
      <c r="M90" s="33"/>
      <c r="N90" s="21">
        <v>0</v>
      </c>
      <c r="O90" s="33"/>
      <c r="P90" s="21">
        <v>0</v>
      </c>
      <c r="Q90" s="33"/>
      <c r="R90" s="21">
        <v>0</v>
      </c>
      <c r="S90" s="33"/>
      <c r="T90" s="21">
        <v>0</v>
      </c>
      <c r="U90" s="33"/>
      <c r="V90" s="21">
        <v>0</v>
      </c>
      <c r="W90" s="33"/>
      <c r="X90" s="21">
        <v>0</v>
      </c>
      <c r="Y90" s="33"/>
      <c r="Z90" s="21">
        <v>0</v>
      </c>
      <c r="AA90" s="33"/>
      <c r="AB90" s="21">
        <v>0</v>
      </c>
      <c r="AC90" s="21"/>
      <c r="AD90" s="21">
        <v>6000</v>
      </c>
      <c r="AE90" s="46">
        <f>'[1]Mthly Detail'!AE50</f>
        <v>3916</v>
      </c>
      <c r="AF90" s="5">
        <f t="shared" si="5"/>
        <v>2084</v>
      </c>
    </row>
    <row r="91" spans="1:33" x14ac:dyDescent="0.2">
      <c r="A91" s="6">
        <v>5040</v>
      </c>
      <c r="B91" s="37" t="s">
        <v>107</v>
      </c>
      <c r="C91" s="7"/>
      <c r="D91" s="21">
        <v>0</v>
      </c>
      <c r="E91" s="21"/>
      <c r="F91" s="21">
        <v>0</v>
      </c>
      <c r="G91" s="21"/>
      <c r="H91" s="21">
        <v>0</v>
      </c>
      <c r="I91" s="21"/>
      <c r="J91" s="21">
        <v>0</v>
      </c>
      <c r="K91" s="21"/>
      <c r="L91" s="21">
        <v>0</v>
      </c>
      <c r="M91" s="21"/>
      <c r="N91" s="21">
        <v>0</v>
      </c>
      <c r="O91" s="21"/>
      <c r="P91" s="21">
        <v>0</v>
      </c>
      <c r="Q91" s="21"/>
      <c r="R91" s="21">
        <v>0</v>
      </c>
      <c r="S91" s="21"/>
      <c r="T91" s="21">
        <v>0</v>
      </c>
      <c r="U91" s="21"/>
      <c r="V91" s="21">
        <v>0</v>
      </c>
      <c r="W91" s="21"/>
      <c r="X91" s="21">
        <v>0</v>
      </c>
      <c r="Y91" s="21"/>
      <c r="Z91" s="21">
        <v>0</v>
      </c>
      <c r="AA91" s="21"/>
      <c r="AB91" s="21">
        <v>0</v>
      </c>
      <c r="AC91" s="21"/>
      <c r="AD91" s="21">
        <v>0</v>
      </c>
      <c r="AE91" s="46">
        <f>'[1]Mthly Detail'!AE42</f>
        <v>65708</v>
      </c>
      <c r="AF91" s="5">
        <f t="shared" si="5"/>
        <v>-65708</v>
      </c>
      <c r="AG91" s="1" t="s">
        <v>108</v>
      </c>
    </row>
    <row r="92" spans="1:33" x14ac:dyDescent="0.2">
      <c r="A92" s="6">
        <v>8618</v>
      </c>
      <c r="B92" s="37" t="s">
        <v>109</v>
      </c>
      <c r="C92" s="7"/>
      <c r="D92" s="35">
        <v>0</v>
      </c>
      <c r="E92" s="35"/>
      <c r="F92" s="35">
        <v>0</v>
      </c>
      <c r="G92" s="35"/>
      <c r="H92" s="35">
        <v>0</v>
      </c>
      <c r="I92" s="35"/>
      <c r="J92" s="35">
        <v>0</v>
      </c>
      <c r="K92" s="35"/>
      <c r="L92" s="35" t="e">
        <f>#REF!</f>
        <v>#REF!</v>
      </c>
      <c r="M92" s="35"/>
      <c r="N92" s="35">
        <v>0</v>
      </c>
      <c r="O92" s="35"/>
      <c r="P92" s="35">
        <v>0</v>
      </c>
      <c r="Q92" s="35"/>
      <c r="R92" s="35">
        <v>0</v>
      </c>
      <c r="S92" s="35"/>
      <c r="T92" s="35">
        <v>0</v>
      </c>
      <c r="U92" s="35"/>
      <c r="V92" s="35">
        <v>0</v>
      </c>
      <c r="W92" s="35"/>
      <c r="X92" s="35">
        <v>0</v>
      </c>
      <c r="Y92" s="35"/>
      <c r="Z92" s="35">
        <v>0</v>
      </c>
      <c r="AA92" s="35"/>
      <c r="AB92" s="35">
        <v>0</v>
      </c>
      <c r="AC92" s="35"/>
      <c r="AD92" s="35">
        <v>0</v>
      </c>
      <c r="AE92" s="47">
        <f>'[1]Mthly Detail'!AE51</f>
        <v>9658</v>
      </c>
      <c r="AF92" s="48">
        <f t="shared" si="5"/>
        <v>-9658</v>
      </c>
    </row>
    <row r="93" spans="1:33" x14ac:dyDescent="0.2">
      <c r="A93" s="6"/>
      <c r="B93" s="37"/>
      <c r="C93" s="4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47"/>
      <c r="AF93" s="48"/>
    </row>
    <row r="94" spans="1:33" x14ac:dyDescent="0.2">
      <c r="A94" s="6"/>
      <c r="B94" s="51" t="s">
        <v>110</v>
      </c>
      <c r="C94" s="7"/>
      <c r="D94" s="38" t="e">
        <f>SUM(D83:D93)</f>
        <v>#REF!</v>
      </c>
      <c r="E94" s="38"/>
      <c r="F94" s="38" t="e">
        <f>SUM(F83:F93)</f>
        <v>#REF!</v>
      </c>
      <c r="G94" s="38"/>
      <c r="H94" s="38" t="e">
        <f>SUM(H83:H93)</f>
        <v>#REF!</v>
      </c>
      <c r="I94" s="38"/>
      <c r="J94" s="38" t="e">
        <f>SUM(J83:J93)</f>
        <v>#REF!</v>
      </c>
      <c r="K94" s="38"/>
      <c r="L94" s="38" t="e">
        <f>SUM(L83:L93)</f>
        <v>#REF!</v>
      </c>
      <c r="M94" s="38"/>
      <c r="N94" s="38" t="e">
        <f>SUM(N83:N93)</f>
        <v>#REF!</v>
      </c>
      <c r="O94" s="38"/>
      <c r="P94" s="38" t="e">
        <f>SUM(P83:P93)</f>
        <v>#REF!</v>
      </c>
      <c r="Q94" s="38"/>
      <c r="R94" s="38" t="e">
        <f>SUM(R83:R93)</f>
        <v>#REF!</v>
      </c>
      <c r="S94" s="38"/>
      <c r="T94" s="38" t="e">
        <f>SUM(T83:T93)</f>
        <v>#REF!</v>
      </c>
      <c r="U94" s="38"/>
      <c r="V94" s="38" t="e">
        <f>SUM(V83:V93)</f>
        <v>#REF!</v>
      </c>
      <c r="W94" s="38"/>
      <c r="X94" s="38" t="e">
        <f>SUM(X83:X93)</f>
        <v>#REF!</v>
      </c>
      <c r="Y94" s="38"/>
      <c r="Z94" s="38" t="e">
        <f>SUM(Z83:Z93)</f>
        <v>#REF!</v>
      </c>
      <c r="AA94" s="38"/>
      <c r="AB94" s="38" t="e">
        <f>SUM(AB83:AB93)</f>
        <v>#REF!</v>
      </c>
      <c r="AC94" s="38"/>
      <c r="AD94" s="38">
        <f>SUM(AD82:AD93)</f>
        <v>7332536</v>
      </c>
      <c r="AE94" s="39">
        <f>SUM(AE83:AE93)</f>
        <v>7494327</v>
      </c>
      <c r="AF94" s="5">
        <f>+AD94-AE94</f>
        <v>-161791</v>
      </c>
    </row>
    <row r="95" spans="1:33" s="52" customFormat="1" x14ac:dyDescent="0.2">
      <c r="A95" s="6"/>
      <c r="B95" s="51"/>
      <c r="C95" s="7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4"/>
      <c r="AF95" s="5"/>
      <c r="AG95" s="1"/>
    </row>
    <row r="96" spans="1:33" x14ac:dyDescent="0.2">
      <c r="A96" s="6"/>
      <c r="B96" s="34" t="s">
        <v>111</v>
      </c>
      <c r="C96" s="7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4"/>
    </row>
    <row r="97" spans="1:34" x14ac:dyDescent="0.2">
      <c r="A97" s="6">
        <v>5100</v>
      </c>
      <c r="B97" s="7" t="s">
        <v>112</v>
      </c>
      <c r="C97" s="7"/>
      <c r="D97" s="21" t="e">
        <f>#REF!</f>
        <v>#REF!</v>
      </c>
      <c r="E97" s="21"/>
      <c r="F97" s="54" t="e">
        <f>#REF!</f>
        <v>#REF!</v>
      </c>
      <c r="G97" s="21"/>
      <c r="H97" s="21" t="e">
        <f>#REF!</f>
        <v>#REF!</v>
      </c>
      <c r="I97" s="21"/>
      <c r="J97" s="21" t="e">
        <f>#REF!</f>
        <v>#REF!</v>
      </c>
      <c r="K97" s="21"/>
      <c r="L97" s="21" t="e">
        <f>#REF!</f>
        <v>#REF!</v>
      </c>
      <c r="M97" s="21"/>
      <c r="N97" s="21" t="e">
        <f>#REF!</f>
        <v>#REF!</v>
      </c>
      <c r="O97" s="21"/>
      <c r="P97" s="21" t="e">
        <f>#REF!</f>
        <v>#REF!</v>
      </c>
      <c r="Q97" s="21"/>
      <c r="R97" s="21" t="e">
        <f>#REF!</f>
        <v>#REF!</v>
      </c>
      <c r="S97" s="21"/>
      <c r="T97" s="21" t="e">
        <f>#REF!</f>
        <v>#REF!</v>
      </c>
      <c r="U97" s="21"/>
      <c r="V97" s="21" t="e">
        <f>#REF!</f>
        <v>#REF!</v>
      </c>
      <c r="W97" s="21"/>
      <c r="X97" s="21" t="e">
        <f>#REF!</f>
        <v>#REF!</v>
      </c>
      <c r="Y97" s="21"/>
      <c r="Z97" s="21" t="e">
        <f>#REF!</f>
        <v>#REF!</v>
      </c>
      <c r="AA97" s="21"/>
      <c r="AB97" s="21" t="e">
        <f>#REF!</f>
        <v>#REF!</v>
      </c>
      <c r="AC97" s="35"/>
      <c r="AD97" s="21">
        <v>553166</v>
      </c>
      <c r="AE97" s="46">
        <f>'[1]Mthly Detail'!AE43</f>
        <v>529462</v>
      </c>
      <c r="AF97" s="5">
        <f>+AD97-AE97</f>
        <v>23704</v>
      </c>
    </row>
    <row r="98" spans="1:34" s="44" customFormat="1" x14ac:dyDescent="0.2">
      <c r="A98" s="40">
        <v>5110</v>
      </c>
      <c r="B98" s="42" t="s">
        <v>113</v>
      </c>
      <c r="C98" s="42"/>
      <c r="D98" s="35" t="e">
        <f>#REF!</f>
        <v>#REF!</v>
      </c>
      <c r="E98" s="35"/>
      <c r="F98" s="35" t="e">
        <f>#REF!</f>
        <v>#REF!</v>
      </c>
      <c r="G98" s="35"/>
      <c r="H98" s="35" t="e">
        <f>#REF!</f>
        <v>#REF!</v>
      </c>
      <c r="I98" s="35"/>
      <c r="J98" s="35" t="e">
        <f>#REF!</f>
        <v>#REF!</v>
      </c>
      <c r="K98" s="35"/>
      <c r="L98" s="35" t="e">
        <f>#REF!</f>
        <v>#REF!</v>
      </c>
      <c r="M98" s="35"/>
      <c r="N98" s="35" t="e">
        <f>#REF!</f>
        <v>#REF!</v>
      </c>
      <c r="O98" s="35"/>
      <c r="P98" s="35" t="e">
        <f>#REF!</f>
        <v>#REF!</v>
      </c>
      <c r="Q98" s="35"/>
      <c r="R98" s="35" t="e">
        <f>#REF!</f>
        <v>#REF!</v>
      </c>
      <c r="S98" s="35"/>
      <c r="T98" s="35" t="e">
        <f>#REF!</f>
        <v>#REF!</v>
      </c>
      <c r="U98" s="35"/>
      <c r="V98" s="35" t="e">
        <f>#REF!</f>
        <v>#REF!</v>
      </c>
      <c r="W98" s="35"/>
      <c r="X98" s="35" t="e">
        <f>#REF!</f>
        <v>#REF!</v>
      </c>
      <c r="Y98" s="35"/>
      <c r="Z98" s="35" t="e">
        <f>#REF!</f>
        <v>#REF!</v>
      </c>
      <c r="AA98" s="35"/>
      <c r="AB98" s="35" t="e">
        <f>#REF!</f>
        <v>#REF!</v>
      </c>
      <c r="AC98" s="35"/>
      <c r="AD98" s="35">
        <v>72309</v>
      </c>
      <c r="AE98" s="55">
        <f>'[1]Mthly Detail'!AE44</f>
        <v>52518</v>
      </c>
      <c r="AF98" s="56">
        <f>+AD98-AE98</f>
        <v>19791</v>
      </c>
    </row>
    <row r="99" spans="1:34" x14ac:dyDescent="0.2">
      <c r="A99" s="57" t="s">
        <v>114</v>
      </c>
      <c r="B99" s="7" t="s">
        <v>115</v>
      </c>
      <c r="C99" s="7"/>
      <c r="D99" s="21" t="e">
        <f>#REF!-#REF!-#REF!</f>
        <v>#REF!</v>
      </c>
      <c r="E99" s="21"/>
      <c r="F99" s="21" t="e">
        <f>#REF!-#REF!-#REF!</f>
        <v>#REF!</v>
      </c>
      <c r="G99" s="21"/>
      <c r="H99" s="21" t="e">
        <f>#REF!-#REF!-#REF!</f>
        <v>#REF!</v>
      </c>
      <c r="I99" s="21"/>
      <c r="J99" s="21" t="e">
        <f>#REF!-#REF!-#REF!</f>
        <v>#REF!</v>
      </c>
      <c r="K99" s="21"/>
      <c r="L99" s="21" t="e">
        <f>#REF!-#REF!-#REF!</f>
        <v>#REF!</v>
      </c>
      <c r="M99" s="21"/>
      <c r="N99" s="21" t="e">
        <f>#REF!-#REF!-#REF!</f>
        <v>#REF!</v>
      </c>
      <c r="O99" s="21"/>
      <c r="P99" s="21" t="e">
        <f>#REF!-#REF!-#REF!</f>
        <v>#REF!</v>
      </c>
      <c r="Q99" s="21"/>
      <c r="R99" s="21" t="e">
        <f>#REF!-#REF!-#REF!</f>
        <v>#REF!</v>
      </c>
      <c r="S99" s="21"/>
      <c r="T99" s="21" t="e">
        <f>#REF!-#REF!-#REF!</f>
        <v>#REF!</v>
      </c>
      <c r="U99" s="21"/>
      <c r="V99" s="21" t="e">
        <f>#REF!-#REF!-#REF!</f>
        <v>#REF!</v>
      </c>
      <c r="W99" s="21"/>
      <c r="X99" s="21" t="e">
        <f>#REF!-#REF!-#REF!</f>
        <v>#REF!</v>
      </c>
      <c r="Y99" s="21"/>
      <c r="Z99" s="21" t="e">
        <f>#REF!-#REF!-#REF!</f>
        <v>#REF!</v>
      </c>
      <c r="AA99" s="21"/>
      <c r="AB99" s="21" t="e">
        <f>#REF!-#REF!-#REF!</f>
        <v>#REF!</v>
      </c>
      <c r="AC99" s="21"/>
      <c r="AD99" s="21">
        <v>1003759</v>
      </c>
      <c r="AE99" s="46">
        <f>'[1]Mthly Detail'!AE45+'[1]Mthly Detail'!$AE$46+'[1]Mthly Detail'!$AE$47+'[1]Mthly Detail'!$AE$48</f>
        <v>975359.88</v>
      </c>
      <c r="AF99" s="5">
        <f>+AD99-AE99</f>
        <v>28399.119999999995</v>
      </c>
    </row>
    <row r="100" spans="1:34" s="58" customFormat="1" x14ac:dyDescent="0.25">
      <c r="AE100" s="47"/>
      <c r="AF100" s="48"/>
    </row>
    <row r="101" spans="1:34" x14ac:dyDescent="0.2">
      <c r="A101" s="22"/>
      <c r="B101" s="51" t="s">
        <v>110</v>
      </c>
      <c r="C101" s="17"/>
      <c r="D101" s="59" t="e">
        <f>SUM(D97:D99)</f>
        <v>#REF!</v>
      </c>
      <c r="E101" s="59"/>
      <c r="F101" s="59" t="e">
        <f>SUM(F97:F99)</f>
        <v>#REF!</v>
      </c>
      <c r="G101" s="59"/>
      <c r="H101" s="59" t="e">
        <f>SUM(H97:H99)</f>
        <v>#REF!</v>
      </c>
      <c r="I101" s="59"/>
      <c r="J101" s="59" t="e">
        <f>SUM(J97:J99)</f>
        <v>#REF!</v>
      </c>
      <c r="K101" s="59"/>
      <c r="L101" s="59" t="e">
        <f>SUM(L97:L99)</f>
        <v>#REF!</v>
      </c>
      <c r="M101" s="59"/>
      <c r="N101" s="59" t="e">
        <f>SUM(N97:N99)</f>
        <v>#REF!</v>
      </c>
      <c r="O101" s="59"/>
      <c r="P101" s="59" t="e">
        <f>SUM(P97:P99)</f>
        <v>#REF!</v>
      </c>
      <c r="Q101" s="59"/>
      <c r="R101" s="59" t="e">
        <f>SUM(R97:R99)</f>
        <v>#REF!</v>
      </c>
      <c r="S101" s="59"/>
      <c r="T101" s="59" t="e">
        <f>SUM(T97:T99)</f>
        <v>#REF!</v>
      </c>
      <c r="U101" s="59"/>
      <c r="V101" s="59" t="e">
        <f>SUM(V97:V99)</f>
        <v>#REF!</v>
      </c>
      <c r="W101" s="59"/>
      <c r="X101" s="59" t="e">
        <f>SUM(X97:X99)</f>
        <v>#REF!</v>
      </c>
      <c r="Y101" s="59"/>
      <c r="Z101" s="59" t="e">
        <f>SUM(Z97:Z99)</f>
        <v>#REF!</v>
      </c>
      <c r="AA101" s="59"/>
      <c r="AB101" s="59" t="e">
        <f>SUM(AB97:AB99)</f>
        <v>#REF!</v>
      </c>
      <c r="AC101" s="59"/>
      <c r="AD101" s="59">
        <f>SUM(AD97:AD99)</f>
        <v>1629234</v>
      </c>
      <c r="AE101" s="60">
        <f>SUM(AE97:AE99)</f>
        <v>1557339.88</v>
      </c>
      <c r="AF101" s="60">
        <f>SUM(AF97:AF99)</f>
        <v>71894.12</v>
      </c>
    </row>
    <row r="102" spans="1:34" x14ac:dyDescent="0.2">
      <c r="A102" s="6"/>
      <c r="B102" s="7"/>
      <c r="C102" s="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4"/>
    </row>
    <row r="103" spans="1:34" x14ac:dyDescent="0.2">
      <c r="A103" s="22"/>
      <c r="B103" s="17" t="s">
        <v>116</v>
      </c>
      <c r="C103" s="24"/>
      <c r="D103" s="26" t="e">
        <f>+D94+#REF!+D101</f>
        <v>#REF!</v>
      </c>
      <c r="E103" s="26"/>
      <c r="F103" s="26" t="e">
        <f>+F94+#REF!+F101</f>
        <v>#REF!</v>
      </c>
      <c r="G103" s="26"/>
      <c r="H103" s="26" t="e">
        <f>+H94+#REF!+H101</f>
        <v>#REF!</v>
      </c>
      <c r="I103" s="26"/>
      <c r="J103" s="26" t="e">
        <f>+J94+#REF!+J101</f>
        <v>#REF!</v>
      </c>
      <c r="K103" s="26"/>
      <c r="L103" s="26" t="e">
        <f>+L94+#REF!+L101</f>
        <v>#REF!</v>
      </c>
      <c r="M103" s="26"/>
      <c r="N103" s="26" t="e">
        <f>+N94+#REF!+N101</f>
        <v>#REF!</v>
      </c>
      <c r="O103" s="26"/>
      <c r="P103" s="26" t="e">
        <f>+P94+#REF!+P101</f>
        <v>#REF!</v>
      </c>
      <c r="Q103" s="26"/>
      <c r="R103" s="26" t="e">
        <f>+R94+#REF!+R101</f>
        <v>#REF!</v>
      </c>
      <c r="S103" s="26"/>
      <c r="T103" s="26" t="e">
        <f>+T94+#REF!+T101</f>
        <v>#REF!</v>
      </c>
      <c r="U103" s="26"/>
      <c r="V103" s="26" t="e">
        <f>+V94+#REF!+V101</f>
        <v>#REF!</v>
      </c>
      <c r="W103" s="26"/>
      <c r="X103" s="26" t="e">
        <f>+X94+#REF!+X101</f>
        <v>#REF!</v>
      </c>
      <c r="Y103" s="26"/>
      <c r="Z103" s="26" t="e">
        <f>+Z94+#REF!+Z101</f>
        <v>#REF!</v>
      </c>
      <c r="AA103" s="26"/>
      <c r="AB103" s="26" t="e">
        <f>+AB94+#REF!+AB101</f>
        <v>#REF!</v>
      </c>
      <c r="AC103" s="26"/>
      <c r="AD103" s="26">
        <f>+AD94+AD101</f>
        <v>8961770</v>
      </c>
      <c r="AE103" s="45" t="e">
        <f>+AE94+#REF!+AE101</f>
        <v>#REF!</v>
      </c>
      <c r="AF103" s="45" t="e">
        <f>+AF94+#REF!+AF101</f>
        <v>#REF!</v>
      </c>
      <c r="AG103" s="29"/>
      <c r="AH103" s="29"/>
    </row>
    <row r="104" spans="1:34" x14ac:dyDescent="0.2">
      <c r="A104" s="6"/>
      <c r="B104" s="17"/>
      <c r="C104" s="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4"/>
      <c r="AF104" s="60"/>
    </row>
    <row r="105" spans="1:34" ht="15.75" thickBot="1" x14ac:dyDescent="0.25">
      <c r="A105" s="22"/>
      <c r="B105" s="17" t="s">
        <v>117</v>
      </c>
      <c r="C105" s="61"/>
      <c r="D105" s="62" t="e">
        <f>+D103+D79</f>
        <v>#REF!</v>
      </c>
      <c r="E105" s="62"/>
      <c r="F105" s="62" t="e">
        <f>+F103+F79</f>
        <v>#REF!</v>
      </c>
      <c r="G105" s="62"/>
      <c r="H105" s="62" t="e">
        <f>+H103+H79</f>
        <v>#REF!</v>
      </c>
      <c r="I105" s="62"/>
      <c r="J105" s="62" t="e">
        <f>+J103+J79</f>
        <v>#REF!</v>
      </c>
      <c r="K105" s="62"/>
      <c r="L105" s="62" t="e">
        <f>+L103+L79</f>
        <v>#REF!</v>
      </c>
      <c r="M105" s="62"/>
      <c r="N105" s="62" t="e">
        <f>+N103+N79</f>
        <v>#REF!</v>
      </c>
      <c r="O105" s="62"/>
      <c r="P105" s="62" t="e">
        <f>+P103+P79</f>
        <v>#REF!</v>
      </c>
      <c r="Q105" s="62"/>
      <c r="R105" s="62" t="e">
        <f>+R103+R79</f>
        <v>#REF!</v>
      </c>
      <c r="S105" s="62"/>
      <c r="T105" s="62" t="e">
        <f>+T103+T79</f>
        <v>#REF!</v>
      </c>
      <c r="U105" s="62"/>
      <c r="V105" s="62" t="e">
        <f>+V103+V79</f>
        <v>#REF!</v>
      </c>
      <c r="W105" s="62"/>
      <c r="X105" s="62" t="e">
        <f>+X103+X79</f>
        <v>#REF!</v>
      </c>
      <c r="Y105" s="62"/>
      <c r="Z105" s="62" t="e">
        <f>+Z103+Z79</f>
        <v>#REF!</v>
      </c>
      <c r="AA105" s="62"/>
      <c r="AB105" s="62" t="e">
        <f>+AB103+AB79</f>
        <v>#REF!</v>
      </c>
      <c r="AC105" s="62"/>
      <c r="AD105" s="62">
        <f>+AD103+AD79</f>
        <v>13380714</v>
      </c>
      <c r="AE105" s="63" t="e">
        <f>+AE103+AE79</f>
        <v>#REF!</v>
      </c>
      <c r="AF105" s="63" t="e">
        <f>+AF103+AF79</f>
        <v>#REF!</v>
      </c>
    </row>
    <row r="106" spans="1:34" x14ac:dyDescent="0.25">
      <c r="A106" s="6"/>
      <c r="B106" s="17"/>
      <c r="C106" s="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64"/>
      <c r="AE106" s="4"/>
    </row>
    <row r="107" spans="1:34" x14ac:dyDescent="0.2">
      <c r="A107" s="6"/>
      <c r="B107" s="17" t="s">
        <v>118</v>
      </c>
      <c r="C107" s="7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38">
        <v>200000</v>
      </c>
      <c r="AE107" s="4"/>
      <c r="AF107" s="65"/>
      <c r="AG107" s="66"/>
      <c r="AH107" s="66"/>
    </row>
    <row r="108" spans="1:34" s="52" customFormat="1" ht="12.75" x14ac:dyDescent="0.2">
      <c r="A108" s="57">
        <v>9900</v>
      </c>
      <c r="B108" s="17" t="s">
        <v>119</v>
      </c>
      <c r="C108" s="1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>
        <v>950000</v>
      </c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>
        <f>SUM(D108:AB108)</f>
        <v>950000</v>
      </c>
      <c r="AE108" s="39">
        <f>+'[1]Mthly Detail'!$AE$107+'[1]Mthly Detail'!$AE$108</f>
        <v>935802</v>
      </c>
      <c r="AF108" s="53">
        <f>+AD108-AE108</f>
        <v>14198</v>
      </c>
    </row>
    <row r="109" spans="1:34" x14ac:dyDescent="0.2">
      <c r="A109" s="6"/>
      <c r="B109" s="17"/>
      <c r="C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67"/>
      <c r="AE109" s="68"/>
      <c r="AF109" s="69"/>
      <c r="AG109" s="66"/>
      <c r="AH109" s="66"/>
    </row>
    <row r="110" spans="1:34" x14ac:dyDescent="0.2">
      <c r="A110" s="6"/>
      <c r="B110" s="17" t="s">
        <v>120</v>
      </c>
      <c r="C110" s="7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38">
        <f>AD105+AD107+AD108</f>
        <v>14530714</v>
      </c>
      <c r="AE110" s="39" t="e">
        <f>+AE105+AE108</f>
        <v>#REF!</v>
      </c>
      <c r="AF110" s="39" t="e">
        <f>+AF105+AF108</f>
        <v>#REF!</v>
      </c>
      <c r="AG110" s="66"/>
      <c r="AH110" s="66"/>
    </row>
    <row r="111" spans="1:34" x14ac:dyDescent="0.2">
      <c r="A111" s="6"/>
      <c r="B111" s="17"/>
      <c r="C111" s="7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38"/>
      <c r="AE111" s="4"/>
      <c r="AF111" s="65"/>
      <c r="AG111" s="66"/>
      <c r="AH111" s="66"/>
    </row>
    <row r="112" spans="1:34" ht="15.75" thickBot="1" x14ac:dyDescent="0.25">
      <c r="A112" s="6"/>
      <c r="B112" s="70" t="s">
        <v>121</v>
      </c>
      <c r="C112" s="71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3">
        <f>+AD16-AD110</f>
        <v>72607</v>
      </c>
      <c r="AE112" s="74" t="e">
        <f>+AE16-AE110</f>
        <v>#REF!</v>
      </c>
      <c r="AF112" s="74" t="e">
        <f>+AF16-AF110</f>
        <v>#REF!</v>
      </c>
      <c r="AG112" s="66"/>
      <c r="AH112" s="66"/>
    </row>
    <row r="113" spans="1:32" ht="15.75" thickTop="1" x14ac:dyDescent="0.25">
      <c r="A113" s="6"/>
      <c r="B113" s="70"/>
      <c r="C113" s="7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75"/>
      <c r="W113" s="75"/>
      <c r="X113" s="75"/>
      <c r="Y113" s="75"/>
      <c r="Z113" s="75"/>
      <c r="AA113" s="75"/>
      <c r="AB113" s="75"/>
      <c r="AC113" s="21"/>
      <c r="AD113" s="64"/>
      <c r="AE113" s="39"/>
    </row>
    <row r="114" spans="1:32" x14ac:dyDescent="0.2">
      <c r="A114" s="6"/>
      <c r="B114" s="70"/>
      <c r="C114" s="7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38"/>
      <c r="AE114" s="39"/>
    </row>
    <row r="115" spans="1:32" x14ac:dyDescent="0.2">
      <c r="A115" s="6"/>
      <c r="B115" s="70"/>
      <c r="C115" s="7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38"/>
      <c r="AE115" s="39"/>
    </row>
    <row r="116" spans="1:32" x14ac:dyDescent="0.2">
      <c r="A116" s="6"/>
      <c r="B116" s="7"/>
      <c r="C116" s="7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4"/>
    </row>
    <row r="117" spans="1:32" hidden="1" x14ac:dyDescent="0.2">
      <c r="A117" s="6"/>
      <c r="B117" s="76" t="s">
        <v>122</v>
      </c>
      <c r="C117" s="8"/>
      <c r="D117" s="21">
        <v>74000</v>
      </c>
      <c r="E117" s="21"/>
      <c r="F117" s="21">
        <v>227366</v>
      </c>
      <c r="G117" s="21"/>
      <c r="H117" s="21">
        <v>61359</v>
      </c>
      <c r="I117" s="21"/>
      <c r="J117" s="21">
        <v>54580</v>
      </c>
      <c r="K117" s="21"/>
      <c r="L117" s="21">
        <v>2101025</v>
      </c>
      <c r="M117" s="21"/>
      <c r="N117" s="21">
        <v>870471</v>
      </c>
      <c r="O117" s="21"/>
      <c r="P117" s="21">
        <v>82200</v>
      </c>
      <c r="Q117" s="21"/>
      <c r="R117" s="21">
        <v>225250</v>
      </c>
      <c r="S117" s="21"/>
      <c r="T117" s="21">
        <v>24350</v>
      </c>
      <c r="U117" s="21"/>
      <c r="V117" s="21">
        <v>134300</v>
      </c>
      <c r="W117" s="21"/>
      <c r="X117" s="21"/>
      <c r="Y117" s="21"/>
      <c r="Z117" s="21">
        <v>111965</v>
      </c>
      <c r="AA117" s="21"/>
      <c r="AB117" s="21">
        <v>45222</v>
      </c>
      <c r="AC117" s="21"/>
      <c r="AD117" s="21">
        <f>SUM(D117:AB117)</f>
        <v>4012088</v>
      </c>
      <c r="AE117" s="4"/>
    </row>
    <row r="118" spans="1:32" hidden="1" x14ac:dyDescent="0.2">
      <c r="A118" s="6"/>
      <c r="B118" s="76" t="s">
        <v>123</v>
      </c>
      <c r="C118" s="8"/>
      <c r="D118" s="21">
        <f>+D79</f>
        <v>37250</v>
      </c>
      <c r="E118" s="21"/>
      <c r="F118" s="21">
        <f>+F79</f>
        <v>132700</v>
      </c>
      <c r="G118" s="21"/>
      <c r="H118" s="21">
        <f>+H79</f>
        <v>157160</v>
      </c>
      <c r="I118" s="21"/>
      <c r="J118" s="21">
        <f>+J79</f>
        <v>92000</v>
      </c>
      <c r="K118" s="21"/>
      <c r="L118" s="21">
        <f>+L79</f>
        <v>2416047</v>
      </c>
      <c r="M118" s="21"/>
      <c r="N118" s="21">
        <f>+N79</f>
        <v>965050</v>
      </c>
      <c r="O118" s="21"/>
      <c r="P118" s="21">
        <f>+P79</f>
        <v>61700</v>
      </c>
      <c r="Q118" s="21"/>
      <c r="R118" s="21">
        <f>+R79</f>
        <v>135500</v>
      </c>
      <c r="S118" s="21"/>
      <c r="T118" s="21">
        <f>+T79</f>
        <v>30100</v>
      </c>
      <c r="U118" s="21"/>
      <c r="V118" s="21">
        <f>+V79</f>
        <v>179400</v>
      </c>
      <c r="W118" s="21"/>
      <c r="X118" s="21"/>
      <c r="Y118" s="21"/>
      <c r="Z118" s="21">
        <f>+Z79</f>
        <v>93962</v>
      </c>
      <c r="AA118" s="21"/>
      <c r="AB118" s="21">
        <f>+AB79</f>
        <v>44050</v>
      </c>
      <c r="AC118" s="21"/>
      <c r="AD118" s="21">
        <f>SUM(D118:AB118)</f>
        <v>4344919</v>
      </c>
      <c r="AE118" s="4"/>
    </row>
    <row r="119" spans="1:32" ht="15.75" hidden="1" thickBot="1" x14ac:dyDescent="0.25">
      <c r="A119" s="6"/>
      <c r="B119" s="79" t="s">
        <v>12</v>
      </c>
      <c r="C119" s="8"/>
      <c r="D119" s="77">
        <f>-D117+D118</f>
        <v>-36750</v>
      </c>
      <c r="E119" s="77"/>
      <c r="F119" s="77">
        <f>-F117+F118</f>
        <v>-94666</v>
      </c>
      <c r="G119" s="77"/>
      <c r="H119" s="77">
        <f>-H117+H118</f>
        <v>95801</v>
      </c>
      <c r="I119" s="77"/>
      <c r="J119" s="77">
        <f>-J117+J118</f>
        <v>37420</v>
      </c>
      <c r="K119" s="77"/>
      <c r="L119" s="77">
        <f>-L117+L118</f>
        <v>315022</v>
      </c>
      <c r="M119" s="77"/>
      <c r="N119" s="77">
        <f>-N117+N118</f>
        <v>94579</v>
      </c>
      <c r="O119" s="77"/>
      <c r="P119" s="77">
        <f>-P117+P118</f>
        <v>-20500</v>
      </c>
      <c r="Q119" s="77"/>
      <c r="R119" s="77">
        <f>-R117+R118</f>
        <v>-89750</v>
      </c>
      <c r="S119" s="77"/>
      <c r="T119" s="77">
        <f>-T117+T118</f>
        <v>5750</v>
      </c>
      <c r="U119" s="77"/>
      <c r="V119" s="77">
        <f>-V117+V118</f>
        <v>45100</v>
      </c>
      <c r="W119" s="77"/>
      <c r="X119" s="77"/>
      <c r="Y119" s="77"/>
      <c r="Z119" s="77">
        <f>-Z117+Z118</f>
        <v>-18003</v>
      </c>
      <c r="AA119" s="77"/>
      <c r="AB119" s="77">
        <f>-AB117+AB118</f>
        <v>-1172</v>
      </c>
      <c r="AC119" s="77"/>
      <c r="AD119" s="77">
        <f>-AD117+AD118</f>
        <v>332831</v>
      </c>
      <c r="AE119" s="4"/>
    </row>
    <row r="120" spans="1:32" hidden="1" x14ac:dyDescent="0.2">
      <c r="A120" s="80"/>
      <c r="B120" s="78"/>
      <c r="C120" s="78"/>
      <c r="D120" s="78">
        <f>(+D118-D117)/D117</f>
        <v>-0.4966216216216216</v>
      </c>
      <c r="E120" s="78"/>
      <c r="F120" s="78">
        <f>(+F118-F117)/F117</f>
        <v>-0.41635952605050885</v>
      </c>
      <c r="G120" s="78"/>
      <c r="H120" s="78">
        <f>(+H118-H117)/H117</f>
        <v>1.5613194478397627</v>
      </c>
      <c r="I120" s="78"/>
      <c r="J120" s="78">
        <f>(+J118-J117)/J117</f>
        <v>0.68559912055698058</v>
      </c>
      <c r="K120" s="78"/>
      <c r="L120" s="78">
        <f>(+L118-L117)/L117</f>
        <v>0.1499372925119882</v>
      </c>
      <c r="M120" s="78"/>
      <c r="N120" s="78">
        <f>(+N118-N117)/N117</f>
        <v>0.10865267194426925</v>
      </c>
      <c r="O120" s="78"/>
      <c r="P120" s="78">
        <f>(+P118-P117)/P117</f>
        <v>-0.24939172749391728</v>
      </c>
      <c r="Q120" s="78"/>
      <c r="R120" s="78">
        <f>(+R118-R117)/R117</f>
        <v>-0.39844617092119866</v>
      </c>
      <c r="S120" s="78"/>
      <c r="T120" s="78">
        <f>(+T118-T117)/T117</f>
        <v>0.23613963039014374</v>
      </c>
      <c r="U120" s="78"/>
      <c r="V120" s="78">
        <f>(+V118-V117)/V117</f>
        <v>0.33581533879374537</v>
      </c>
      <c r="W120" s="78"/>
      <c r="X120" s="78"/>
      <c r="Y120" s="78"/>
      <c r="Z120" s="78">
        <f>(+Z118-Z117)/Z117</f>
        <v>-0.16079131871567007</v>
      </c>
      <c r="AA120" s="78"/>
      <c r="AB120" s="78">
        <f>(+AB118-AB117)/AB117</f>
        <v>-2.5916589270708949E-2</v>
      </c>
      <c r="AC120" s="78"/>
      <c r="AD120" s="78">
        <f>(+AD118-AD117)/AD117</f>
        <v>8.2957053783466364E-2</v>
      </c>
      <c r="AE120" s="81"/>
    </row>
    <row r="128" spans="1:32" x14ac:dyDescent="0.25">
      <c r="D128" s="46"/>
      <c r="AE128" s="1"/>
      <c r="AF128" s="1"/>
    </row>
    <row r="129" spans="4:32" x14ac:dyDescent="0.25">
      <c r="D129" s="46"/>
      <c r="AE129" s="1"/>
      <c r="AF129" s="1"/>
    </row>
    <row r="130" spans="4:32" x14ac:dyDescent="0.25">
      <c r="D130" s="46"/>
      <c r="AE130" s="1"/>
      <c r="AF130" s="1"/>
    </row>
    <row r="131" spans="4:32" x14ac:dyDescent="0.25">
      <c r="D131" s="46"/>
      <c r="AE131" s="1"/>
      <c r="AF131" s="1"/>
    </row>
    <row r="132" spans="4:32" x14ac:dyDescent="0.25">
      <c r="D132" s="46"/>
      <c r="AE132" s="1"/>
      <c r="AF132" s="1"/>
    </row>
    <row r="133" spans="4:32" x14ac:dyDescent="0.25">
      <c r="D133" s="46"/>
      <c r="AE133" s="1"/>
      <c r="AF133" s="1"/>
    </row>
    <row r="134" spans="4:32" x14ac:dyDescent="0.25">
      <c r="D134" s="46"/>
      <c r="AE134" s="1"/>
      <c r="AF134" s="1"/>
    </row>
    <row r="135" spans="4:32" x14ac:dyDescent="0.25">
      <c r="D135" s="46"/>
      <c r="AE135" s="1"/>
      <c r="AF135" s="1"/>
    </row>
    <row r="136" spans="4:32" x14ac:dyDescent="0.25">
      <c r="D136" s="46"/>
      <c r="AE136" s="1"/>
      <c r="AF136" s="1"/>
    </row>
    <row r="137" spans="4:32" x14ac:dyDescent="0.25">
      <c r="D137" s="46"/>
      <c r="AE137" s="1"/>
      <c r="AF137" s="1"/>
    </row>
  </sheetData>
  <mergeCells count="1">
    <mergeCell ref="V113:AB113"/>
  </mergeCells>
  <printOptions horizontalCentered="1" gridLines="1"/>
  <pageMargins left="0.2" right="0.2" top="0.5" bottom="0.2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1" sqref="A1:E1048576"/>
    </sheetView>
  </sheetViews>
  <sheetFormatPr defaultRowHeight="15" x14ac:dyDescent="0.25"/>
  <cols>
    <col min="1" max="1" width="36.42578125" bestFit="1" customWidth="1"/>
    <col min="2" max="3" width="10.85546875" bestFit="1" customWidth="1"/>
    <col min="4" max="4" width="11.5703125" bestFit="1" customWidth="1"/>
    <col min="5" max="5" width="10.85546875" bestFit="1" customWidth="1"/>
  </cols>
  <sheetData>
    <row r="1" spans="1:5" x14ac:dyDescent="0.25">
      <c r="A1" s="82" t="s">
        <v>124</v>
      </c>
      <c r="B1" s="83"/>
      <c r="C1" s="84"/>
      <c r="D1" s="83"/>
      <c r="E1" s="85"/>
    </row>
    <row r="2" spans="1:5" x14ac:dyDescent="0.25">
      <c r="A2" s="82" t="s">
        <v>125</v>
      </c>
      <c r="B2" s="83"/>
      <c r="C2" s="84"/>
      <c r="D2" s="83"/>
      <c r="E2" s="85"/>
    </row>
    <row r="3" spans="1:5" x14ac:dyDescent="0.25">
      <c r="A3" s="82" t="s">
        <v>126</v>
      </c>
      <c r="B3" s="83"/>
      <c r="C3" s="84"/>
      <c r="D3" s="83"/>
      <c r="E3" s="85"/>
    </row>
    <row r="4" spans="1:5" x14ac:dyDescent="0.25">
      <c r="A4" s="82"/>
      <c r="B4" s="83"/>
      <c r="C4" s="84"/>
      <c r="D4" s="83"/>
      <c r="E4" s="85"/>
    </row>
    <row r="5" spans="1:5" x14ac:dyDescent="0.25">
      <c r="A5" s="86"/>
      <c r="B5" s="87" t="s">
        <v>127</v>
      </c>
      <c r="C5" s="88" t="s">
        <v>14</v>
      </c>
      <c r="D5" s="89"/>
      <c r="E5" s="83"/>
    </row>
    <row r="6" spans="1:5" x14ac:dyDescent="0.25">
      <c r="A6" s="86"/>
      <c r="B6" s="87" t="s">
        <v>128</v>
      </c>
      <c r="C6" s="88" t="s">
        <v>129</v>
      </c>
      <c r="D6" s="87"/>
      <c r="E6" s="87" t="s">
        <v>128</v>
      </c>
    </row>
    <row r="7" spans="1:5" ht="15.75" thickBot="1" x14ac:dyDescent="0.3">
      <c r="A7" s="86"/>
      <c r="B7" s="90" t="s">
        <v>130</v>
      </c>
      <c r="C7" s="91" t="s">
        <v>131</v>
      </c>
      <c r="D7" s="90" t="s">
        <v>12</v>
      </c>
      <c r="E7" s="90" t="s">
        <v>131</v>
      </c>
    </row>
    <row r="8" spans="1:5" x14ac:dyDescent="0.25">
      <c r="A8" s="86"/>
      <c r="B8" s="87"/>
      <c r="C8" s="88"/>
      <c r="D8" s="87"/>
      <c r="E8" s="87"/>
    </row>
    <row r="9" spans="1:5" x14ac:dyDescent="0.25">
      <c r="A9" s="86"/>
      <c r="B9" s="87"/>
      <c r="C9" s="88"/>
      <c r="D9" s="87"/>
      <c r="E9" s="87"/>
    </row>
    <row r="10" spans="1:5" x14ac:dyDescent="0.25">
      <c r="A10" s="1" t="s">
        <v>132</v>
      </c>
      <c r="B10" s="92">
        <f>detail!AD9</f>
        <v>13643676</v>
      </c>
      <c r="C10" s="93">
        <v>13775397</v>
      </c>
      <c r="D10" s="92">
        <f>B10-C10</f>
        <v>-131721</v>
      </c>
      <c r="E10" s="92">
        <v>13674950</v>
      </c>
    </row>
    <row r="11" spans="1:5" x14ac:dyDescent="0.25">
      <c r="A11" s="66" t="s">
        <v>31</v>
      </c>
      <c r="B11" s="92">
        <f>detail!AD10</f>
        <v>548645</v>
      </c>
      <c r="C11" s="93">
        <v>527000</v>
      </c>
      <c r="D11" s="93">
        <f t="shared" ref="D11:D16" si="0">B11-C11</f>
        <v>21645</v>
      </c>
      <c r="E11" s="93">
        <v>527000</v>
      </c>
    </row>
    <row r="12" spans="1:5" x14ac:dyDescent="0.25">
      <c r="A12" s="66" t="s">
        <v>32</v>
      </c>
      <c r="B12" s="92">
        <f>detail!AD11</f>
        <v>340000</v>
      </c>
      <c r="C12" s="93">
        <v>310000</v>
      </c>
      <c r="D12" s="93">
        <f t="shared" si="0"/>
        <v>30000</v>
      </c>
      <c r="E12" s="93">
        <v>310000</v>
      </c>
    </row>
    <row r="13" spans="1:5" x14ac:dyDescent="0.25">
      <c r="A13" s="66" t="s">
        <v>133</v>
      </c>
      <c r="B13" s="92">
        <v>0</v>
      </c>
      <c r="C13" s="93">
        <v>51297</v>
      </c>
      <c r="D13" s="92">
        <f t="shared" si="0"/>
        <v>-51297</v>
      </c>
      <c r="E13" s="92">
        <v>0</v>
      </c>
    </row>
    <row r="14" spans="1:5" x14ac:dyDescent="0.25">
      <c r="A14" s="1" t="s">
        <v>134</v>
      </c>
      <c r="B14" s="92">
        <v>0</v>
      </c>
      <c r="C14" s="93">
        <v>0</v>
      </c>
      <c r="D14" s="92">
        <f t="shared" si="0"/>
        <v>0</v>
      </c>
      <c r="E14" s="92">
        <v>0</v>
      </c>
    </row>
    <row r="15" spans="1:5" x14ac:dyDescent="0.25">
      <c r="A15" s="1" t="s">
        <v>33</v>
      </c>
      <c r="B15" s="92">
        <v>5000</v>
      </c>
      <c r="C15" s="93">
        <v>5980</v>
      </c>
      <c r="D15" s="92">
        <f t="shared" si="0"/>
        <v>-980</v>
      </c>
      <c r="E15" s="92">
        <v>4000</v>
      </c>
    </row>
    <row r="16" spans="1:5" x14ac:dyDescent="0.25">
      <c r="A16" s="1" t="s">
        <v>34</v>
      </c>
      <c r="B16" s="92">
        <v>66000</v>
      </c>
      <c r="C16" s="93">
        <v>68000</v>
      </c>
      <c r="D16" s="92">
        <f t="shared" si="0"/>
        <v>-2000</v>
      </c>
      <c r="E16" s="92">
        <v>40000</v>
      </c>
    </row>
    <row r="17" spans="1:5" x14ac:dyDescent="0.25">
      <c r="A17" s="1"/>
      <c r="B17" s="92"/>
      <c r="C17" s="93"/>
      <c r="D17" s="92"/>
      <c r="E17" s="92"/>
    </row>
    <row r="18" spans="1:5" x14ac:dyDescent="0.25">
      <c r="A18" s="52" t="s">
        <v>135</v>
      </c>
      <c r="B18" s="94">
        <f>SUM(B10:B17)</f>
        <v>14603321</v>
      </c>
      <c r="C18" s="95">
        <f>SUM(C10:C17)</f>
        <v>14737674</v>
      </c>
      <c r="D18" s="94">
        <f>B18-C18</f>
        <v>-134353</v>
      </c>
      <c r="E18" s="94">
        <f>SUM(E10:E17)</f>
        <v>14555950</v>
      </c>
    </row>
    <row r="19" spans="1:5" x14ac:dyDescent="0.25">
      <c r="A19" s="1"/>
      <c r="B19" s="92"/>
      <c r="C19" s="93"/>
      <c r="D19" s="92"/>
      <c r="E19" s="92"/>
    </row>
    <row r="20" spans="1:5" x14ac:dyDescent="0.25">
      <c r="A20" s="1"/>
      <c r="B20" s="92"/>
      <c r="C20" s="93"/>
      <c r="D20" s="92"/>
      <c r="E20" s="92"/>
    </row>
    <row r="21" spans="1:5" x14ac:dyDescent="0.25">
      <c r="A21" s="1"/>
      <c r="B21" s="92"/>
      <c r="C21" s="93"/>
      <c r="D21" s="92"/>
      <c r="E21" s="92"/>
    </row>
    <row r="22" spans="1:5" x14ac:dyDescent="0.25">
      <c r="A22" s="1" t="s">
        <v>136</v>
      </c>
      <c r="B22" s="92">
        <f>detail!AD103</f>
        <v>8961770</v>
      </c>
      <c r="C22" s="93">
        <v>8791479</v>
      </c>
      <c r="D22" s="92">
        <f t="shared" ref="D22:D23" si="1">B22-C22</f>
        <v>170291</v>
      </c>
      <c r="E22" s="92">
        <v>9108514</v>
      </c>
    </row>
    <row r="23" spans="1:5" x14ac:dyDescent="0.25">
      <c r="A23" s="1" t="s">
        <v>96</v>
      </c>
      <c r="B23" s="92">
        <f>detail!AD105-detail!AD103</f>
        <v>4418944</v>
      </c>
      <c r="C23" s="93">
        <v>4608240</v>
      </c>
      <c r="D23" s="92">
        <f t="shared" si="1"/>
        <v>-189296</v>
      </c>
      <c r="E23" s="92">
        <v>4303670</v>
      </c>
    </row>
    <row r="24" spans="1:5" x14ac:dyDescent="0.25">
      <c r="A24" s="1"/>
      <c r="B24" s="92"/>
      <c r="C24" s="93"/>
      <c r="D24" s="92"/>
      <c r="E24" s="92"/>
    </row>
    <row r="25" spans="1:5" x14ac:dyDescent="0.25">
      <c r="A25" s="52" t="s">
        <v>137</v>
      </c>
      <c r="B25" s="94">
        <f>SUM(B22:B24)</f>
        <v>13380714</v>
      </c>
      <c r="C25" s="95">
        <f>SUM(C22:C24)</f>
        <v>13399719</v>
      </c>
      <c r="D25" s="94">
        <f>B25-C25</f>
        <v>-19005</v>
      </c>
      <c r="E25" s="94">
        <f>SUM(E22:E24)</f>
        <v>13412184</v>
      </c>
    </row>
    <row r="26" spans="1:5" x14ac:dyDescent="0.25">
      <c r="A26" s="1"/>
      <c r="B26" s="92"/>
      <c r="C26" s="93"/>
      <c r="D26" s="92"/>
      <c r="E26" s="92"/>
    </row>
    <row r="27" spans="1:5" x14ac:dyDescent="0.25">
      <c r="A27" s="86"/>
      <c r="B27" s="83"/>
      <c r="C27" s="84"/>
      <c r="D27" s="83"/>
      <c r="E27" s="85"/>
    </row>
    <row r="28" spans="1:5" x14ac:dyDescent="0.25">
      <c r="A28" s="96" t="s">
        <v>138</v>
      </c>
      <c r="B28" s="83"/>
      <c r="C28" s="84"/>
      <c r="D28" s="83"/>
      <c r="E28" s="85"/>
    </row>
    <row r="29" spans="1:5" x14ac:dyDescent="0.25">
      <c r="A29" s="86" t="s">
        <v>139</v>
      </c>
      <c r="B29" s="92">
        <f>B18-B25</f>
        <v>1222607</v>
      </c>
      <c r="C29" s="92">
        <f>C18-C25</f>
        <v>1337955</v>
      </c>
      <c r="D29" s="92">
        <f t="shared" ref="D29" si="2">B29-C29</f>
        <v>-115348</v>
      </c>
      <c r="E29" s="92">
        <f>E18-E25</f>
        <v>1143766</v>
      </c>
    </row>
    <row r="30" spans="1:5" x14ac:dyDescent="0.25">
      <c r="A30" s="1"/>
      <c r="B30" s="92"/>
      <c r="C30" s="93"/>
      <c r="D30" s="92"/>
      <c r="E30" s="92"/>
    </row>
    <row r="31" spans="1:5" x14ac:dyDescent="0.25">
      <c r="A31" s="1" t="s">
        <v>118</v>
      </c>
      <c r="B31" s="92">
        <v>200000</v>
      </c>
      <c r="C31" s="97">
        <v>0</v>
      </c>
      <c r="D31" s="97">
        <v>0</v>
      </c>
      <c r="E31" s="97">
        <v>0</v>
      </c>
    </row>
    <row r="32" spans="1:5" x14ac:dyDescent="0.25">
      <c r="A32" s="1"/>
      <c r="B32" s="92"/>
      <c r="C32" s="93"/>
      <c r="D32" s="92"/>
      <c r="E32" s="92"/>
    </row>
    <row r="33" spans="1:5" x14ac:dyDescent="0.25">
      <c r="A33" s="1" t="s">
        <v>140</v>
      </c>
      <c r="B33" s="92">
        <f>detail!AD108</f>
        <v>950000</v>
      </c>
      <c r="C33" s="93">
        <v>950000</v>
      </c>
      <c r="D33" s="92">
        <f>B33-C33</f>
        <v>0</v>
      </c>
      <c r="E33" s="92">
        <v>950000</v>
      </c>
    </row>
    <row r="34" spans="1:5" x14ac:dyDescent="0.25">
      <c r="A34" s="86"/>
      <c r="B34" s="92"/>
      <c r="C34" s="93"/>
      <c r="D34" s="83"/>
      <c r="E34" s="85"/>
    </row>
    <row r="35" spans="1:5" x14ac:dyDescent="0.25">
      <c r="A35" s="86"/>
      <c r="B35" s="83"/>
      <c r="C35" s="84"/>
      <c r="D35" s="83"/>
      <c r="E35" s="85"/>
    </row>
    <row r="36" spans="1:5" x14ac:dyDescent="0.25">
      <c r="A36" s="52" t="s">
        <v>141</v>
      </c>
      <c r="B36" s="98">
        <f>B29-B31-B33</f>
        <v>72607</v>
      </c>
      <c r="C36" s="98">
        <f t="shared" ref="C36:E36" si="3">C29-C31-C33</f>
        <v>387955</v>
      </c>
      <c r="D36" s="98">
        <f>B36-C36</f>
        <v>-315348</v>
      </c>
      <c r="E36" s="98">
        <f t="shared" si="3"/>
        <v>193766</v>
      </c>
    </row>
  </sheetData>
  <printOptions horizontalCentered="1" gridLines="1"/>
  <pageMargins left="0.2" right="0.2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detail</vt:lpstr>
      <vt:lpstr>summary</vt:lpstr>
      <vt:lpstr>Sheet3</vt:lpstr>
      <vt:lpstr>detail!Print_Area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Johnson</dc:creator>
  <cp:lastModifiedBy>Carmen Johnson</cp:lastModifiedBy>
  <cp:lastPrinted>2015-06-12T21:37:07Z</cp:lastPrinted>
  <dcterms:created xsi:type="dcterms:W3CDTF">2015-06-12T21:30:23Z</dcterms:created>
  <dcterms:modified xsi:type="dcterms:W3CDTF">2015-06-12T21:37:12Z</dcterms:modified>
</cp:coreProperties>
</file>