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6275" windowHeight="6990"/>
  </bookViews>
  <sheets>
    <sheet name="Sheet3" sheetId="3" r:id="rId1"/>
  </sheets>
  <externalReferences>
    <externalReference r:id="rId2"/>
    <externalReference r:id="rId3"/>
  </externalReferences>
  <definedNames>
    <definedName name="_xlnm.Print_Area" localSheetId="0">Sheet3!$A$1:$P$192</definedName>
  </definedNames>
  <calcPr calcId="145621"/>
</workbook>
</file>

<file path=xl/calcChain.xml><?xml version="1.0" encoding="utf-8"?>
<calcChain xmlns="http://schemas.openxmlformats.org/spreadsheetml/2006/main">
  <c r="N189" i="3" l="1"/>
  <c r="L189" i="3"/>
  <c r="N24" i="3"/>
  <c r="N35" i="3"/>
  <c r="O15" i="3"/>
  <c r="O22" i="3"/>
  <c r="O23" i="3"/>
  <c r="O25" i="3"/>
  <c r="O26" i="3"/>
  <c r="O30" i="3"/>
  <c r="O32" i="3"/>
  <c r="O34" i="3"/>
  <c r="O36" i="3"/>
  <c r="O37" i="3"/>
  <c r="O38" i="3"/>
  <c r="O39" i="3"/>
  <c r="O40" i="3"/>
  <c r="O41" i="3"/>
  <c r="O42" i="3"/>
  <c r="O44" i="3"/>
  <c r="O45" i="3"/>
  <c r="O47" i="3"/>
  <c r="O48" i="3"/>
  <c r="O49" i="3"/>
  <c r="O50" i="3"/>
  <c r="O56" i="3"/>
  <c r="O58" i="3"/>
  <c r="O68" i="3"/>
  <c r="O70" i="3"/>
  <c r="O71" i="3"/>
  <c r="O72" i="3"/>
  <c r="O74" i="3"/>
  <c r="O76" i="3"/>
  <c r="O77" i="3"/>
  <c r="O78" i="3"/>
  <c r="O80" i="3"/>
  <c r="O81" i="3"/>
  <c r="O84" i="3"/>
  <c r="O86" i="3"/>
  <c r="O91" i="3"/>
  <c r="O92" i="3"/>
  <c r="O94" i="3"/>
  <c r="O95" i="3"/>
  <c r="O96" i="3"/>
  <c r="O97" i="3"/>
  <c r="O98" i="3"/>
  <c r="O100" i="3"/>
  <c r="O101" i="3"/>
  <c r="O102" i="3"/>
  <c r="O107" i="3"/>
  <c r="O109" i="3"/>
  <c r="O110" i="3"/>
  <c r="O111" i="3"/>
  <c r="O113" i="3"/>
  <c r="O116" i="3"/>
  <c r="O118" i="3"/>
  <c r="O119" i="3"/>
  <c r="O120" i="3"/>
  <c r="O122" i="3"/>
  <c r="O124" i="3"/>
  <c r="O125" i="3"/>
  <c r="O126" i="3"/>
  <c r="O129" i="3"/>
  <c r="O131" i="3"/>
  <c r="O132" i="3"/>
  <c r="O133" i="3"/>
  <c r="O142" i="3"/>
  <c r="O148" i="3"/>
  <c r="O152" i="3"/>
  <c r="O154" i="3"/>
  <c r="O156" i="3"/>
  <c r="O157" i="3"/>
  <c r="O158" i="3"/>
  <c r="O160" i="3"/>
  <c r="O161" i="3"/>
  <c r="O162" i="3"/>
  <c r="O164" i="3"/>
  <c r="O166" i="3"/>
  <c r="O167" i="3"/>
  <c r="O168" i="3"/>
  <c r="O169" i="3"/>
  <c r="O171" i="3"/>
  <c r="O173" i="3"/>
  <c r="O174" i="3"/>
  <c r="O181" i="3"/>
  <c r="O184" i="3"/>
  <c r="O187" i="3"/>
  <c r="H185" i="3"/>
  <c r="G185" i="3"/>
  <c r="F185" i="3"/>
  <c r="E185" i="3"/>
  <c r="C185" i="3"/>
  <c r="M183" i="3"/>
  <c r="O183" i="3" s="1"/>
  <c r="M182" i="3"/>
  <c r="O182" i="3" s="1"/>
  <c r="I182" i="3"/>
  <c r="M180" i="3"/>
  <c r="O180" i="3" s="1"/>
  <c r="M179" i="3"/>
  <c r="O179" i="3" s="1"/>
  <c r="M178" i="3"/>
  <c r="O178" i="3" s="1"/>
  <c r="M177" i="3"/>
  <c r="O177" i="3" s="1"/>
  <c r="M176" i="3"/>
  <c r="O176" i="3" s="1"/>
  <c r="M175" i="3"/>
  <c r="O175" i="3" s="1"/>
  <c r="I175" i="3"/>
  <c r="I172" i="3"/>
  <c r="I165" i="3"/>
  <c r="H165" i="3"/>
  <c r="G165" i="3"/>
  <c r="F165" i="3"/>
  <c r="E165" i="3"/>
  <c r="C165" i="3"/>
  <c r="M163" i="3"/>
  <c r="M165" i="3" s="1"/>
  <c r="O165" i="3" s="1"/>
  <c r="I163" i="3"/>
  <c r="H159" i="3"/>
  <c r="G159" i="3"/>
  <c r="F159" i="3"/>
  <c r="E159" i="3"/>
  <c r="C159" i="3"/>
  <c r="M155" i="3"/>
  <c r="O155" i="3" s="1"/>
  <c r="M153" i="3"/>
  <c r="O153" i="3" s="1"/>
  <c r="M151" i="3"/>
  <c r="O151" i="3" s="1"/>
  <c r="M150" i="3"/>
  <c r="O150" i="3" s="1"/>
  <c r="M149" i="3"/>
  <c r="O149" i="3" s="1"/>
  <c r="M147" i="3"/>
  <c r="O147" i="3" s="1"/>
  <c r="M146" i="3"/>
  <c r="O146" i="3" s="1"/>
  <c r="M145" i="3"/>
  <c r="O145" i="3" s="1"/>
  <c r="M144" i="3"/>
  <c r="O144" i="3" s="1"/>
  <c r="I144" i="3"/>
  <c r="I159" i="3" s="1"/>
  <c r="M143" i="3"/>
  <c r="O143" i="3" s="1"/>
  <c r="M141" i="3"/>
  <c r="O141" i="3" s="1"/>
  <c r="M140" i="3"/>
  <c r="O140" i="3" s="1"/>
  <c r="M139" i="3"/>
  <c r="O139" i="3" s="1"/>
  <c r="M138" i="3"/>
  <c r="O138" i="3" s="1"/>
  <c r="M137" i="3"/>
  <c r="O137" i="3" s="1"/>
  <c r="M136" i="3"/>
  <c r="O136" i="3" s="1"/>
  <c r="M135" i="3"/>
  <c r="O135" i="3" s="1"/>
  <c r="M134" i="3"/>
  <c r="O134" i="3" s="1"/>
  <c r="H130" i="3"/>
  <c r="G130" i="3"/>
  <c r="F130" i="3"/>
  <c r="E130" i="3"/>
  <c r="C130" i="3"/>
  <c r="M128" i="3"/>
  <c r="O128" i="3" s="1"/>
  <c r="I128" i="3"/>
  <c r="I130" i="3" s="1"/>
  <c r="M127" i="3"/>
  <c r="O127" i="3" s="1"/>
  <c r="H123" i="3"/>
  <c r="G123" i="3"/>
  <c r="F123" i="3"/>
  <c r="E123" i="3"/>
  <c r="C123" i="3"/>
  <c r="I121" i="3"/>
  <c r="I123" i="3" s="1"/>
  <c r="H117" i="3"/>
  <c r="G117" i="3"/>
  <c r="F117" i="3"/>
  <c r="E117" i="3"/>
  <c r="C117" i="3"/>
  <c r="M115" i="3"/>
  <c r="O115" i="3" s="1"/>
  <c r="M114" i="3"/>
  <c r="O114" i="3" s="1"/>
  <c r="I114" i="3"/>
  <c r="M112" i="3"/>
  <c r="O112" i="3" s="1"/>
  <c r="I112" i="3"/>
  <c r="I108" i="3"/>
  <c r="H108" i="3"/>
  <c r="G108" i="3"/>
  <c r="F108" i="3"/>
  <c r="C108" i="3"/>
  <c r="M106" i="3"/>
  <c r="O106" i="3" s="1"/>
  <c r="M105" i="3"/>
  <c r="O105" i="3" s="1"/>
  <c r="E105" i="3"/>
  <c r="E108" i="3" s="1"/>
  <c r="M104" i="3"/>
  <c r="O104" i="3" s="1"/>
  <c r="M103" i="3"/>
  <c r="O103" i="3" s="1"/>
  <c r="M99" i="3"/>
  <c r="O99" i="3" s="1"/>
  <c r="I99" i="3"/>
  <c r="H99" i="3"/>
  <c r="G99" i="3"/>
  <c r="F99" i="3"/>
  <c r="E99" i="3"/>
  <c r="C99" i="3"/>
  <c r="I93" i="3"/>
  <c r="H93" i="3"/>
  <c r="G93" i="3"/>
  <c r="F93" i="3"/>
  <c r="E93" i="3"/>
  <c r="C93" i="3"/>
  <c r="M90" i="3"/>
  <c r="O90" i="3" s="1"/>
  <c r="M89" i="3"/>
  <c r="O89" i="3" s="1"/>
  <c r="M88" i="3"/>
  <c r="O88" i="3" s="1"/>
  <c r="M87" i="3"/>
  <c r="O87" i="3" s="1"/>
  <c r="M85" i="3"/>
  <c r="O85" i="3" s="1"/>
  <c r="M83" i="3"/>
  <c r="O83" i="3" s="1"/>
  <c r="M82" i="3"/>
  <c r="O82" i="3" s="1"/>
  <c r="M79" i="3"/>
  <c r="O79" i="3" s="1"/>
  <c r="I75" i="3"/>
  <c r="H75" i="3"/>
  <c r="G75" i="3"/>
  <c r="F75" i="3"/>
  <c r="E75" i="3"/>
  <c r="C75" i="3"/>
  <c r="M73" i="3"/>
  <c r="M75" i="3" s="1"/>
  <c r="O75" i="3" s="1"/>
  <c r="H69" i="3"/>
  <c r="G69" i="3"/>
  <c r="F69" i="3"/>
  <c r="E69" i="3"/>
  <c r="C69" i="3"/>
  <c r="M67" i="3"/>
  <c r="O67" i="3" s="1"/>
  <c r="I67" i="3"/>
  <c r="M66" i="3"/>
  <c r="O66" i="3" s="1"/>
  <c r="I66" i="3"/>
  <c r="M65" i="3"/>
  <c r="O65" i="3" s="1"/>
  <c r="M64" i="3"/>
  <c r="O64" i="3" s="1"/>
  <c r="M63" i="3"/>
  <c r="O63" i="3" s="1"/>
  <c r="M62" i="3"/>
  <c r="O62" i="3" s="1"/>
  <c r="M61" i="3"/>
  <c r="O61" i="3" s="1"/>
  <c r="I61" i="3"/>
  <c r="M60" i="3"/>
  <c r="O60" i="3" s="1"/>
  <c r="M59" i="3"/>
  <c r="O59" i="3" s="1"/>
  <c r="M57" i="3"/>
  <c r="O57" i="3" s="1"/>
  <c r="M55" i="3"/>
  <c r="M54" i="3" s="1"/>
  <c r="O54" i="3" s="1"/>
  <c r="M53" i="3"/>
  <c r="O53" i="3" s="1"/>
  <c r="M52" i="3"/>
  <c r="O52" i="3" s="1"/>
  <c r="M51" i="3"/>
  <c r="O51" i="3" s="1"/>
  <c r="M43" i="3"/>
  <c r="O43" i="3" s="1"/>
  <c r="J43" i="3"/>
  <c r="I43" i="3"/>
  <c r="H43" i="3"/>
  <c r="G43" i="3"/>
  <c r="F43" i="3"/>
  <c r="E43" i="3"/>
  <c r="C43" i="3"/>
  <c r="J35" i="3"/>
  <c r="I35" i="3"/>
  <c r="H35" i="3"/>
  <c r="G35" i="3"/>
  <c r="F35" i="3"/>
  <c r="E35" i="3"/>
  <c r="C35" i="3"/>
  <c r="M33" i="3"/>
  <c r="O33" i="3" s="1"/>
  <c r="M31" i="3"/>
  <c r="O31" i="3" s="1"/>
  <c r="M29" i="3"/>
  <c r="O29" i="3" s="1"/>
  <c r="M28" i="3"/>
  <c r="O28" i="3" s="1"/>
  <c r="M27" i="3"/>
  <c r="O27" i="3" s="1"/>
  <c r="H24" i="3"/>
  <c r="G24" i="3"/>
  <c r="F24" i="3"/>
  <c r="E24" i="3"/>
  <c r="C24" i="3"/>
  <c r="M21" i="3"/>
  <c r="O21" i="3" s="1"/>
  <c r="M20" i="3"/>
  <c r="O20" i="3" s="1"/>
  <c r="M19" i="3"/>
  <c r="M18" i="3"/>
  <c r="O18" i="3" s="1"/>
  <c r="I18" i="3"/>
  <c r="I24" i="3" s="1"/>
  <c r="M17" i="3"/>
  <c r="O17" i="3" s="1"/>
  <c r="M16" i="3"/>
  <c r="O16" i="3" s="1"/>
  <c r="M14" i="3"/>
  <c r="O14" i="3" s="1"/>
  <c r="M13" i="3"/>
  <c r="O13" i="3" s="1"/>
  <c r="M12" i="3"/>
  <c r="O12" i="3" s="1"/>
  <c r="M11" i="3"/>
  <c r="M24" i="3" s="1"/>
  <c r="M6" i="3"/>
  <c r="O35" i="3" l="1"/>
  <c r="O11" i="3"/>
  <c r="N46" i="3"/>
  <c r="N191" i="3" s="1"/>
  <c r="M170" i="3"/>
  <c r="O170" i="3" s="1"/>
  <c r="O19" i="3"/>
  <c r="M35" i="3"/>
  <c r="M46" i="3" s="1"/>
  <c r="O163" i="3"/>
  <c r="I69" i="3"/>
  <c r="O55" i="3"/>
  <c r="I185" i="3"/>
  <c r="O73" i="3"/>
  <c r="C46" i="3"/>
  <c r="M117" i="3"/>
  <c r="O117" i="3" s="1"/>
  <c r="I117" i="3"/>
  <c r="G46" i="3"/>
  <c r="H46" i="3"/>
  <c r="M69" i="3"/>
  <c r="M130" i="3"/>
  <c r="O130" i="3" s="1"/>
  <c r="E46" i="3"/>
  <c r="C189" i="3"/>
  <c r="C191" i="3" s="1"/>
  <c r="F46" i="3"/>
  <c r="F189" i="3"/>
  <c r="G189" i="3"/>
  <c r="M93" i="3"/>
  <c r="O93" i="3" s="1"/>
  <c r="M108" i="3"/>
  <c r="O108" i="3" s="1"/>
  <c r="M159" i="3"/>
  <c r="O159" i="3" s="1"/>
  <c r="H189" i="3"/>
  <c r="E189" i="3"/>
  <c r="M172" i="3"/>
  <c r="I46" i="3"/>
  <c r="I189" i="3" l="1"/>
  <c r="O69" i="3"/>
  <c r="O24" i="3"/>
  <c r="O46" i="3" s="1"/>
  <c r="M185" i="3"/>
  <c r="O185" i="3" s="1"/>
  <c r="O172" i="3"/>
  <c r="G191" i="3"/>
  <c r="H191" i="3"/>
  <c r="I191" i="3"/>
  <c r="E191" i="3"/>
  <c r="F191" i="3"/>
  <c r="M121" i="3" l="1"/>
  <c r="M123" i="3" s="1"/>
  <c r="M189" i="3" s="1"/>
  <c r="M191" i="3" s="1"/>
  <c r="M186" i="3"/>
  <c r="O186" i="3" s="1"/>
  <c r="O121" i="3" l="1"/>
  <c r="O123" i="3"/>
  <c r="O189" i="3" s="1"/>
  <c r="O191" i="3" s="1"/>
</calcChain>
</file>

<file path=xl/sharedStrings.xml><?xml version="1.0" encoding="utf-8"?>
<sst xmlns="http://schemas.openxmlformats.org/spreadsheetml/2006/main" count="166" uniqueCount="152">
  <si>
    <t>Actual</t>
  </si>
  <si>
    <t>Enrollment</t>
  </si>
  <si>
    <t>REVENUES</t>
  </si>
  <si>
    <t xml:space="preserve">        Total Revenues</t>
  </si>
  <si>
    <t>EXPENSES</t>
  </si>
  <si>
    <t xml:space="preserve">        Total Expenses</t>
  </si>
  <si>
    <t>NET INCOME/(LOSS)</t>
  </si>
  <si>
    <t>2013</t>
  </si>
  <si>
    <t>FY 2014</t>
  </si>
  <si>
    <t>FY 2015</t>
  </si>
  <si>
    <t>FY 2016</t>
  </si>
  <si>
    <t>Budget</t>
  </si>
  <si>
    <t xml:space="preserve">Budget </t>
  </si>
  <si>
    <t>as of March</t>
  </si>
  <si>
    <t xml:space="preserve">   Federal / State / Local Revenue: </t>
  </si>
  <si>
    <t xml:space="preserve">  401-3000-D-00-00-00 Per pupil charter payments</t>
  </si>
  <si>
    <t xml:space="preserve">  401-3040-0-00-00-00 Per pupil facility allowance</t>
  </si>
  <si>
    <t xml:space="preserve">  401-3050-0-00-SP-00 Per pupil allocat-SPED add-ons</t>
  </si>
  <si>
    <t xml:space="preserve">  401-3065-D-00-00-00 Per pupil Summer Allotment - District</t>
  </si>
  <si>
    <t xml:space="preserve">  401-3065-D-00-00-IS Per pupil Summer Allotment-Intersession</t>
  </si>
  <si>
    <t xml:space="preserve">  402-3100-F-01-FE-00 Title Funds-Revenue</t>
  </si>
  <si>
    <t xml:space="preserve">  402-3100-F-01-ID-00 IDEA-Revenue</t>
  </si>
  <si>
    <t xml:space="preserve">  402-3100-0-01-ER-00 E-Rate Revenue</t>
  </si>
  <si>
    <t xml:space="preserve">  402-3102-F-01-ID-00 Federal Entitlements IDEA 619</t>
  </si>
  <si>
    <t xml:space="preserve">  402-3109-F-01-RT-00 Race to the Top Grant Revenues</t>
  </si>
  <si>
    <t xml:space="preserve">  402-3500-F-01-FS-00 Food Service Revenues-USDA</t>
  </si>
  <si>
    <t>Due From Lamond</t>
  </si>
  <si>
    <t xml:space="preserve">   Total    Federal / State / Local Revenue</t>
  </si>
  <si>
    <t xml:space="preserve">   Supplemental Revenue: </t>
  </si>
  <si>
    <t xml:space="preserve">  403-3501-P-01-FS-00 Food Service Revenue-Parents</t>
  </si>
  <si>
    <t xml:space="preserve">  403-3910-0-00-OT-00 Other revenue</t>
  </si>
  <si>
    <t xml:space="preserve">  403-3910-0-00-TS-00 Facility Rental Revenues</t>
  </si>
  <si>
    <t xml:space="preserve">  403-3990-P-01-00-BA Before &amp; After Care revenue</t>
  </si>
  <si>
    <t xml:space="preserve">  403-3925-0-00-FR-00 Fundraising - net</t>
  </si>
  <si>
    <t xml:space="preserve">  403-3990-P-01-SS-00 Summer School Revenue</t>
  </si>
  <si>
    <t xml:space="preserve">  403-4400-P-01-00-00 Field Trip Revenue</t>
  </si>
  <si>
    <t xml:space="preserve">   Total    Supplemental Revenue</t>
  </si>
  <si>
    <t xml:space="preserve">   Grants &amp; Initial Revenue: </t>
  </si>
  <si>
    <t xml:space="preserve">  405-3201-0-00-00-00 Teacher Incentive Grant Revenue</t>
  </si>
  <si>
    <t xml:space="preserve">  405-3200-Q-00-00-00 QSI Grant Revenue</t>
  </si>
  <si>
    <t xml:space="preserve">  406-3300-0-00-OT-00 - Grant Income Other</t>
  </si>
  <si>
    <t xml:space="preserve">   Total    Grants &amp; Initial Revenue</t>
  </si>
  <si>
    <t xml:space="preserve">   Salaries and Benefits: </t>
  </si>
  <si>
    <t xml:space="preserve">  501-5030-0-00-00-00 Classroom Teachers</t>
  </si>
  <si>
    <t xml:space="preserve">  501-5030-0-00-SS-00 Other Program-Summer School</t>
  </si>
  <si>
    <t xml:space="preserve">  501-5040-0-00-00-00 Assistant Teachers</t>
  </si>
  <si>
    <t xml:space="preserve">  501-5050-0-00-00-00 Other professional salaries-ADMIN</t>
  </si>
  <si>
    <t xml:space="preserve">  501-5050-F-01-FE-00 Title Funds-Salary Expense</t>
  </si>
  <si>
    <t>Regional Salaries</t>
  </si>
  <si>
    <t xml:space="preserve">  501-5060-0-00-SP-00 SPED Teacher</t>
  </si>
  <si>
    <t xml:space="preserve">  501-5068-0-00-00-BA Afterschool program wages</t>
  </si>
  <si>
    <t xml:space="preserve">  501-5136-0-00-CU-00 Custodial</t>
  </si>
  <si>
    <t xml:space="preserve">  501-5138-0-00-FS-00 Food Service</t>
  </si>
  <si>
    <t xml:space="preserve">  501-5150-0-00-00-00 Stipends/Other Pay</t>
  </si>
  <si>
    <t xml:space="preserve">  501-5154-0-00-00-ST Substitutes - Short Term</t>
  </si>
  <si>
    <t xml:space="preserve">  502-5210-0-00-00-00 401(k) Expense</t>
  </si>
  <si>
    <t xml:space="preserve">  502-5400-0-00-00-00 FICA -Payroll taxes</t>
  </si>
  <si>
    <t xml:space="preserve">  502-5402-0-00-FU-00 Payroll taxes-FUTA/SUTA</t>
  </si>
  <si>
    <t xml:space="preserve">  502-5504-0-00-00-00 Health and dental insurance</t>
  </si>
  <si>
    <t xml:space="preserve">  502-5508-0-00-00-00 Disability and life insurance</t>
  </si>
  <si>
    <t xml:space="preserve">   Total    Salaries and Benefits</t>
  </si>
  <si>
    <t>t</t>
  </si>
  <si>
    <t xml:space="preserve">   Facility Expenses (Rent): </t>
  </si>
  <si>
    <t xml:space="preserve">  508-6010-0-00-00-00 Rent Exp Interc</t>
  </si>
  <si>
    <t xml:space="preserve">   Total    Facility Expenses (Rent)</t>
  </si>
  <si>
    <t xml:space="preserve">   Direct Educational: </t>
  </si>
  <si>
    <t xml:space="preserve">  525-4020-0-00-00-00 Classroom Supplies</t>
  </si>
  <si>
    <t xml:space="preserve">  525-4020-0-00-SS-00 Classroom Supplies-Summer School</t>
  </si>
  <si>
    <t xml:space="preserve">  525-4020-F-01-FE-00 Title Funds-Classroom Materials</t>
  </si>
  <si>
    <t xml:space="preserve">  525-4030-0-00-00-00 Textbooks</t>
  </si>
  <si>
    <t xml:space="preserve">  525-4150-0-00-00-00 Library &amp; Media Ctr Materials</t>
  </si>
  <si>
    <t xml:space="preserve">  525-4030-F-01-FE-00 Title Funds-Textbooks</t>
  </si>
  <si>
    <t xml:space="preserve">  525-4500-0-00-00-00 Student Assessment Materials</t>
  </si>
  <si>
    <t>Race to the Top</t>
  </si>
  <si>
    <t xml:space="preserve">  525-4703-0-00-00-00 Nursing Supplies</t>
  </si>
  <si>
    <t xml:space="preserve">  525-5138-0-00-FS-00 Food Service- Supplies</t>
  </si>
  <si>
    <t xml:space="preserve">  526-4100-0-00-00-00 Computers, Materials&amp; other equipment</t>
  </si>
  <si>
    <t xml:space="preserve">  526-4112-0-00-00-00 Computer Support</t>
  </si>
  <si>
    <t xml:space="preserve">  526-6900-F-01-FE-00 Title Fund - Technology</t>
  </si>
  <si>
    <t xml:space="preserve">   Total    Direct Educational</t>
  </si>
  <si>
    <t xml:space="preserve">   Equipment Use Fee: </t>
  </si>
  <si>
    <t xml:space="preserve">  524-4200-0-00-00-00 Equipment Use Fee-Imagine</t>
  </si>
  <si>
    <t xml:space="preserve">   Total    Equipment Use Fee</t>
  </si>
  <si>
    <t xml:space="preserve">   Facility Operating: </t>
  </si>
  <si>
    <t xml:space="preserve">  506-0000-0-00-00-00 Utilities</t>
  </si>
  <si>
    <t xml:space="preserve">  510-6210-0-00-00-00 Repairs and maintenance</t>
  </si>
  <si>
    <t xml:space="preserve">  510-7700-0-00-00-00 R&amp;M-Printing &amp; Copying</t>
  </si>
  <si>
    <t xml:space="preserve">  506-7400-0-00-00-00 Telecommunications usage</t>
  </si>
  <si>
    <t xml:space="preserve">   Total    Facility Operating</t>
  </si>
  <si>
    <t xml:space="preserve">   Faculty Development: </t>
  </si>
  <si>
    <t xml:space="preserve">  529-7530-0-00-00-00 Prof Dev &amp; training -admin</t>
  </si>
  <si>
    <t xml:space="preserve">  529-7530-0-00-00-HS Prof dev &amp; training-Head of School</t>
  </si>
  <si>
    <t xml:space="preserve">  529-7530-F-01-FE-00 Title Funds-Prof Development</t>
  </si>
  <si>
    <t xml:space="preserve">  529-7531-0-00-00-00 Staff Meals &amp; Entertainment</t>
  </si>
  <si>
    <t xml:space="preserve">   Total    Faculty Development</t>
  </si>
  <si>
    <t xml:space="preserve">   Imagine Indirect Costs: </t>
  </si>
  <si>
    <t xml:space="preserve">  512-8000-0-00-00-00 Imagine Indirect Fee</t>
  </si>
  <si>
    <t xml:space="preserve">   Total    Imagine Indirect Costs</t>
  </si>
  <si>
    <t xml:space="preserve">   Marketing and Enrollment: </t>
  </si>
  <si>
    <t xml:space="preserve">  519-7200-0-00-00-00 Marketing</t>
  </si>
  <si>
    <t xml:space="preserve">  519-7532-0-00-00-00 Staff Recruitment</t>
  </si>
  <si>
    <t xml:space="preserve">   Total    Marketing and Enrollment</t>
  </si>
  <si>
    <t xml:space="preserve">   General and Adminstrative: </t>
  </si>
  <si>
    <t xml:space="preserve">  517-8050-0-00-00-00 Insurance</t>
  </si>
  <si>
    <t xml:space="preserve">  521-7080-0-00-00-00 Sch Dues/Fees</t>
  </si>
  <si>
    <t xml:space="preserve">  521-7500-0-00-00-00 Payroll processing services</t>
  </si>
  <si>
    <t xml:space="preserve">  521-8100-D-01-00-00 Administration fee DCPCSB</t>
  </si>
  <si>
    <t xml:space="preserve">  521-8350-0-00-00-00 Audit Fees</t>
  </si>
  <si>
    <t xml:space="preserve">  527-9100-0-00-00-00 Depreciation Expense</t>
  </si>
  <si>
    <t xml:space="preserve">  530-4200-0-00-00-00 Furniture</t>
  </si>
  <si>
    <t xml:space="preserve">  530-4400-0-00-00-00 Sch Misc Exp-Field Trips</t>
  </si>
  <si>
    <t xml:space="preserve">  530-4400-0-00-SS-00 Sch Misc Exp-Field Trips-SUMMER SCHOOL</t>
  </si>
  <si>
    <t xml:space="preserve">  530-4410-0-00-00-00 Awards</t>
  </si>
  <si>
    <t xml:space="preserve">  530-5000-F-01-FE-01 Title Funds - Set Asides</t>
  </si>
  <si>
    <t xml:space="preserve">  530-4420-0-00-00-00 Student Activities</t>
  </si>
  <si>
    <t xml:space="preserve">  530-4430-0-00-00-00 McKinney Vento</t>
  </si>
  <si>
    <t xml:space="preserve">  530-5060-0-00-00-00 Sch Misc Exp-SPED</t>
  </si>
  <si>
    <t xml:space="preserve">  530-5068-0-00-00-BA Misc Exp - After School Program</t>
  </si>
  <si>
    <t xml:space="preserve">  530-6900-0-00-FR-00 Misc Exp-Fund Raising</t>
  </si>
  <si>
    <t xml:space="preserve">  530-6900-P-01-00-IS Interesession Misc Costs</t>
  </si>
  <si>
    <t xml:space="preserve">  530-7000-0-00-00-00 Office Supplies &amp; Expenes</t>
  </si>
  <si>
    <t xml:space="preserve">  530-7710-0-00-00-00 Bank Fees</t>
  </si>
  <si>
    <t xml:space="preserve">  530-7600-0-00-00-00 Board Expenses</t>
  </si>
  <si>
    <t xml:space="preserve">  530-7700-0-00-00-00 Printing and Copying</t>
  </si>
  <si>
    <t xml:space="preserve">  530-7710-0-00-00-00 Postage/Shipping</t>
  </si>
  <si>
    <t xml:space="preserve">  530-8800-0-00-00-00 Sch Misc Exp-PY Reversals</t>
  </si>
  <si>
    <t xml:space="preserve">  530-9100-0-00-00-00 Bad Debt Expense</t>
  </si>
  <si>
    <t xml:space="preserve">   Total    General and Adminstrative</t>
  </si>
  <si>
    <t xml:space="preserve">   Start-Up: </t>
  </si>
  <si>
    <t xml:space="preserve">  532-8010-0-00-00-00 StartUp/Develop-Allocation</t>
  </si>
  <si>
    <t xml:space="preserve">   Total    Start-Up</t>
  </si>
  <si>
    <t xml:space="preserve">   School Services: </t>
  </si>
  <si>
    <t xml:space="preserve">  504-7540-F-01-FE-00 Title Funds-Transportation</t>
  </si>
  <si>
    <t xml:space="preserve">  518-4300-F-01-ID-00 IDEA-Contracted Services</t>
  </si>
  <si>
    <t xml:space="preserve">  518-4301-0-00-ID-00 OTPTSPEECH IDEA 611 ARRA</t>
  </si>
  <si>
    <t xml:space="preserve">  518-5060-0-00-TH-00 OT/PT/Speech Therapy</t>
  </si>
  <si>
    <t xml:space="preserve">  518-5064-0-01-SS-00 Other Program - Summer School</t>
  </si>
  <si>
    <t xml:space="preserve">  518-5136-0-00-CU-00 Custodial Services</t>
  </si>
  <si>
    <t xml:space="preserve">  518-5138-0-00-FS-00 Food Service Contractor</t>
  </si>
  <si>
    <t xml:space="preserve">  518-5138-0-01-FS-01 Food Service Contractor-Bottled Water</t>
  </si>
  <si>
    <t xml:space="preserve">  518-6010-0-00-CU-00 Ground Maintenance</t>
  </si>
  <si>
    <t xml:space="preserve">  518-6210-0-00-CU-00 Pest Control-Custodial</t>
  </si>
  <si>
    <t xml:space="preserve">  518-6400-0-00-CU-00 Waste Removal-Custodial</t>
  </si>
  <si>
    <t xml:space="preserve">  518-7500-0-00-00-00 Payroll Processing Fees</t>
  </si>
  <si>
    <t xml:space="preserve">  518-8350-0-00-00-00 Audit Fees</t>
  </si>
  <si>
    <t xml:space="preserve">  518-8400-0-00-00-00 Legal (and background checks)</t>
  </si>
  <si>
    <t xml:space="preserve">  518-6200-0-00-CU-00 Fire &amp; Security Fees-Custodial</t>
  </si>
  <si>
    <t xml:space="preserve">   Total    School Services</t>
  </si>
  <si>
    <t>School reserves</t>
  </si>
  <si>
    <t>HOPE TOLSON</t>
  </si>
  <si>
    <t>HOPE LAMOND</t>
  </si>
  <si>
    <t>HOPE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</si>
</sst>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#,##0.00;\(#,###,##0.00\)"/>
    <numFmt numFmtId="165" formatCode="_(* #,##0.00_);_(* \(\ #,##0.00\ \);_(* &quot;-&quot;??_);_(\ @_ \)"/>
    <numFmt numFmtId="166" formatCode="_(* #,##0_);_(* \(\ #,##0\ \);_(* &quot;-&quot;??_);_(\ @_ \)"/>
    <numFmt numFmtId="167" formatCode="#,###,##0;\(#,###,##0\)"/>
    <numFmt numFmtId="168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10"/>
      <name val="Arial"/>
      <family val="2"/>
    </font>
    <font>
      <sz val="22"/>
      <color theme="1"/>
      <name val="Calibri"/>
      <family val="2"/>
      <scheme val="minor"/>
    </font>
    <font>
      <b/>
      <sz val="22"/>
      <name val="Arial"/>
      <family val="2"/>
    </font>
    <font>
      <sz val="22"/>
      <color indexed="0"/>
      <name val="Arial"/>
      <family val="2"/>
    </font>
    <font>
      <sz val="22"/>
      <name val="Arial"/>
      <family val="2"/>
    </font>
    <font>
      <sz val="22"/>
      <color theme="1"/>
      <name val="Arial"/>
      <family val="2"/>
    </font>
    <font>
      <b/>
      <sz val="22"/>
      <color indexed="0"/>
      <name val="Arial"/>
      <family val="2"/>
    </font>
    <font>
      <b/>
      <sz val="22"/>
      <color theme="1"/>
      <name val="Arial"/>
      <family val="2"/>
    </font>
    <font>
      <b/>
      <sz val="22"/>
      <color indexed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90">
    <xf numFmtId="0" fontId="0" fillId="0" borderId="0" xfId="0"/>
    <xf numFmtId="0" fontId="5" fillId="0" borderId="0" xfId="2" applyFont="1" applyAlignment="1">
      <alignment horizontal="centerContinuous"/>
    </xf>
    <xf numFmtId="0" fontId="6" fillId="0" borderId="0" xfId="2" applyFont="1" applyAlignment="1">
      <alignment horizontal="right"/>
    </xf>
    <xf numFmtId="0" fontId="6" fillId="0" borderId="0" xfId="2" applyFont="1"/>
    <xf numFmtId="49" fontId="6" fillId="0" borderId="0" xfId="3" applyNumberFormat="1" applyFont="1" applyAlignment="1">
      <alignment horizontal="right"/>
    </xf>
    <xf numFmtId="0" fontId="6" fillId="0" borderId="0" xfId="2" applyFont="1" applyBorder="1" applyAlignment="1">
      <alignment horizontal="right"/>
    </xf>
    <xf numFmtId="0" fontId="7" fillId="0" borderId="0" xfId="2" applyFont="1" applyAlignment="1">
      <alignment horizontal="right" vertical="center"/>
    </xf>
    <xf numFmtId="168" fontId="8" fillId="0" borderId="0" xfId="1" applyNumberFormat="1" applyFont="1"/>
    <xf numFmtId="0" fontId="4" fillId="0" borderId="0" xfId="0" applyFont="1"/>
    <xf numFmtId="49" fontId="9" fillId="2" borderId="0" xfId="3" applyNumberFormat="1" applyFont="1" applyFill="1" applyAlignment="1">
      <alignment horizontal="center"/>
    </xf>
    <xf numFmtId="0" fontId="6" fillId="0" borderId="0" xfId="2" applyFont="1" applyBorder="1" applyAlignment="1">
      <alignment horizontal="center"/>
    </xf>
    <xf numFmtId="0" fontId="5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49" fontId="9" fillId="2" borderId="1" xfId="3" applyNumberFormat="1" applyFont="1" applyFill="1" applyBorder="1" applyAlignment="1">
      <alignment horizontal="center"/>
    </xf>
    <xf numFmtId="0" fontId="5" fillId="2" borderId="1" xfId="3" applyNumberFormat="1" applyFont="1" applyFill="1" applyBorder="1" applyAlignment="1">
      <alignment horizontal="center" wrapText="1"/>
    </xf>
    <xf numFmtId="49" fontId="7" fillId="2" borderId="1" xfId="3" applyNumberFormat="1" applyFont="1" applyFill="1" applyBorder="1" applyAlignment="1">
      <alignment horizontal="center" vertical="center" wrapText="1"/>
    </xf>
    <xf numFmtId="0" fontId="5" fillId="0" borderId="0" xfId="4" applyNumberFormat="1" applyFont="1" applyAlignment="1">
      <alignment horizontal="right"/>
    </xf>
    <xf numFmtId="1" fontId="9" fillId="2" borderId="2" xfId="4" applyNumberFormat="1" applyFont="1" applyFill="1" applyBorder="1" applyAlignment="1">
      <alignment horizontal="center" vertical="center"/>
    </xf>
    <xf numFmtId="166" fontId="9" fillId="0" borderId="0" xfId="4" applyNumberFormat="1" applyFont="1" applyAlignment="1">
      <alignment horizontal="left"/>
    </xf>
    <xf numFmtId="1" fontId="5" fillId="0" borderId="0" xfId="4" applyNumberFormat="1" applyFont="1" applyBorder="1" applyAlignment="1">
      <alignment horizontal="center" vertical="center"/>
    </xf>
    <xf numFmtId="166" fontId="9" fillId="0" borderId="0" xfId="4" applyNumberFormat="1" applyFont="1" applyAlignment="1">
      <alignment horizontal="center"/>
    </xf>
    <xf numFmtId="0" fontId="6" fillId="2" borderId="2" xfId="4" applyNumberFormat="1" applyFont="1" applyFill="1" applyBorder="1" applyAlignment="1">
      <alignment horizontal="center"/>
    </xf>
    <xf numFmtId="0" fontId="9" fillId="0" borderId="0" xfId="2" applyFont="1" applyAlignment="1">
      <alignment horizontal="left" wrapText="1"/>
    </xf>
    <xf numFmtId="164" fontId="6" fillId="0" borderId="0" xfId="3" applyFont="1" applyAlignment="1">
      <alignment horizontal="right" wrapText="1"/>
    </xf>
    <xf numFmtId="0" fontId="9" fillId="0" borderId="0" xfId="2" applyFont="1" applyAlignment="1">
      <alignment wrapText="1"/>
    </xf>
    <xf numFmtId="0" fontId="9" fillId="0" borderId="0" xfId="2" applyFont="1" applyBorder="1" applyAlignment="1">
      <alignment horizontal="right" wrapText="1"/>
    </xf>
    <xf numFmtId="0" fontId="7" fillId="0" borderId="0" xfId="2" applyFont="1" applyAlignment="1">
      <alignment horizontal="right" vertical="center" wrapText="1"/>
    </xf>
    <xf numFmtId="0" fontId="5" fillId="0" borderId="2" xfId="2" applyFont="1" applyBorder="1" applyAlignment="1">
      <alignment horizontal="center" vertical="center" wrapText="1"/>
    </xf>
    <xf numFmtId="168" fontId="10" fillId="0" borderId="2" xfId="1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164" fontId="6" fillId="0" borderId="0" xfId="3" applyFont="1" applyAlignment="1">
      <alignment horizontal="right"/>
    </xf>
    <xf numFmtId="0" fontId="6" fillId="0" borderId="0" xfId="2" applyFont="1" applyAlignment="1">
      <alignment horizontal="left"/>
    </xf>
    <xf numFmtId="166" fontId="6" fillId="0" borderId="0" xfId="4" applyNumberFormat="1" applyFont="1" applyAlignment="1">
      <alignment horizontal="right"/>
    </xf>
    <xf numFmtId="166" fontId="6" fillId="0" borderId="0" xfId="4" applyNumberFormat="1" applyFont="1" applyBorder="1" applyAlignment="1">
      <alignment horizontal="right"/>
    </xf>
    <xf numFmtId="166" fontId="7" fillId="0" borderId="0" xfId="4" applyNumberFormat="1" applyFont="1" applyAlignment="1">
      <alignment horizontal="right" vertical="center"/>
    </xf>
    <xf numFmtId="167" fontId="6" fillId="0" borderId="0" xfId="3" applyNumberFormat="1" applyFont="1" applyAlignment="1">
      <alignment horizontal="right"/>
    </xf>
    <xf numFmtId="167" fontId="6" fillId="0" borderId="0" xfId="3" applyNumberFormat="1" applyFont="1"/>
    <xf numFmtId="1" fontId="7" fillId="0" borderId="0" xfId="3" applyNumberFormat="1" applyFont="1" applyAlignment="1">
      <alignment horizontal="right"/>
    </xf>
    <xf numFmtId="167" fontId="7" fillId="0" borderId="0" xfId="3" applyNumberFormat="1" applyFont="1" applyAlignment="1">
      <alignment horizontal="right" vertical="center"/>
    </xf>
    <xf numFmtId="166" fontId="7" fillId="0" borderId="3" xfId="4" applyNumberFormat="1" applyFont="1" applyBorder="1" applyAlignment="1">
      <alignment horizontal="right" vertical="center"/>
    </xf>
    <xf numFmtId="168" fontId="8" fillId="0" borderId="3" xfId="1" applyNumberFormat="1" applyFont="1" applyBorder="1"/>
    <xf numFmtId="0" fontId="6" fillId="0" borderId="0" xfId="2" applyFont="1" applyAlignment="1">
      <alignment horizontal="center"/>
    </xf>
    <xf numFmtId="166" fontId="6" fillId="0" borderId="1" xfId="4" applyNumberFormat="1" applyFont="1" applyBorder="1" applyAlignment="1">
      <alignment horizontal="right"/>
    </xf>
    <xf numFmtId="166" fontId="7" fillId="0" borderId="1" xfId="4" applyNumberFormat="1" applyFont="1" applyBorder="1" applyAlignment="1">
      <alignment horizontal="right" vertical="center"/>
    </xf>
    <xf numFmtId="168" fontId="10" fillId="0" borderId="0" xfId="0" applyNumberFormat="1" applyFont="1"/>
    <xf numFmtId="0" fontId="6" fillId="0" borderId="0" xfId="2" applyFont="1" applyFill="1" applyAlignment="1">
      <alignment horizontal="left"/>
    </xf>
    <xf numFmtId="0" fontId="6" fillId="0" borderId="0" xfId="6" applyFont="1" applyAlignment="1">
      <alignment horizontal="left"/>
    </xf>
    <xf numFmtId="168" fontId="10" fillId="0" borderId="0" xfId="1" applyNumberFormat="1" applyFont="1"/>
    <xf numFmtId="166" fontId="6" fillId="0" borderId="3" xfId="4" applyNumberFormat="1" applyFont="1" applyBorder="1" applyAlignment="1">
      <alignment horizontal="right"/>
    </xf>
    <xf numFmtId="166" fontId="7" fillId="0" borderId="0" xfId="4" applyNumberFormat="1" applyFont="1" applyBorder="1" applyAlignment="1">
      <alignment horizontal="right" vertical="center"/>
    </xf>
    <xf numFmtId="168" fontId="8" fillId="0" borderId="0" xfId="1" applyNumberFormat="1" applyFont="1" applyBorder="1"/>
    <xf numFmtId="0" fontId="9" fillId="0" borderId="0" xfId="2" applyFont="1" applyAlignment="1">
      <alignment horizontal="left"/>
    </xf>
    <xf numFmtId="0" fontId="9" fillId="0" borderId="0" xfId="2" applyFont="1"/>
    <xf numFmtId="166" fontId="9" fillId="0" borderId="0" xfId="4" applyNumberFormat="1" applyFont="1" applyBorder="1" applyAlignment="1">
      <alignment horizontal="right"/>
    </xf>
    <xf numFmtId="168" fontId="10" fillId="0" borderId="4" xfId="1" applyNumberFormat="1" applyFont="1" applyBorder="1"/>
    <xf numFmtId="166" fontId="6" fillId="0" borderId="0" xfId="4" applyNumberFormat="1" applyFont="1" applyFill="1" applyAlignment="1">
      <alignment horizontal="right"/>
    </xf>
    <xf numFmtId="0" fontId="6" fillId="0" borderId="0" xfId="2" applyFont="1" applyFill="1"/>
    <xf numFmtId="166" fontId="6" fillId="0" borderId="0" xfId="4" applyNumberFormat="1" applyFont="1" applyFill="1" applyBorder="1" applyAlignment="1">
      <alignment horizontal="right"/>
    </xf>
    <xf numFmtId="166" fontId="7" fillId="0" borderId="0" xfId="4" applyNumberFormat="1" applyFont="1" applyFill="1" applyAlignment="1">
      <alignment horizontal="right" vertical="center"/>
    </xf>
    <xf numFmtId="0" fontId="5" fillId="0" borderId="0" xfId="2" applyFont="1" applyAlignment="1">
      <alignment horizontal="left"/>
    </xf>
    <xf numFmtId="0" fontId="5" fillId="0" borderId="0" xfId="2" applyFont="1"/>
    <xf numFmtId="166" fontId="6" fillId="0" borderId="0" xfId="4" applyNumberFormat="1" applyFont="1" applyBorder="1"/>
    <xf numFmtId="166" fontId="6" fillId="0" borderId="0" xfId="4" applyNumberFormat="1" applyFont="1" applyFill="1"/>
    <xf numFmtId="167" fontId="7" fillId="0" borderId="0" xfId="3" applyNumberFormat="1" applyFont="1" applyFill="1"/>
    <xf numFmtId="166" fontId="7" fillId="0" borderId="0" xfId="4" applyNumberFormat="1" applyFont="1" applyFill="1"/>
    <xf numFmtId="166" fontId="6" fillId="0" borderId="0" xfId="4" applyNumberFormat="1" applyFont="1"/>
    <xf numFmtId="167" fontId="7" fillId="0" borderId="0" xfId="3" applyNumberFormat="1" applyFont="1" applyAlignment="1">
      <alignment horizontal="right"/>
    </xf>
    <xf numFmtId="167" fontId="6" fillId="0" borderId="0" xfId="3" applyNumberFormat="1" applyFont="1" applyBorder="1" applyAlignment="1">
      <alignment horizontal="right"/>
    </xf>
    <xf numFmtId="165" fontId="7" fillId="0" borderId="0" xfId="4" applyFont="1" applyAlignment="1">
      <alignment horizontal="right" vertical="center"/>
    </xf>
    <xf numFmtId="0" fontId="5" fillId="0" borderId="0" xfId="6" applyFont="1" applyFill="1" applyBorder="1" applyAlignment="1">
      <alignment horizontal="left"/>
    </xf>
    <xf numFmtId="0" fontId="9" fillId="0" borderId="0" xfId="6" applyFont="1" applyAlignment="1">
      <alignment horizontal="left"/>
    </xf>
    <xf numFmtId="0" fontId="9" fillId="0" borderId="0" xfId="6" applyFont="1" applyFill="1" applyAlignment="1">
      <alignment horizontal="left"/>
    </xf>
    <xf numFmtId="168" fontId="7" fillId="0" borderId="0" xfId="1" applyNumberFormat="1" applyFont="1" applyFill="1" applyAlignment="1">
      <alignment horizontal="right" vertical="center" indent="2"/>
    </xf>
    <xf numFmtId="166" fontId="9" fillId="0" borderId="4" xfId="4" applyNumberFormat="1" applyFont="1" applyBorder="1" applyAlignment="1">
      <alignment horizontal="right"/>
    </xf>
    <xf numFmtId="166" fontId="5" fillId="0" borderId="4" xfId="4" applyNumberFormat="1" applyFont="1" applyBorder="1" applyAlignment="1">
      <alignment horizontal="right" vertical="center"/>
    </xf>
    <xf numFmtId="166" fontId="7" fillId="0" borderId="0" xfId="4" applyNumberFormat="1" applyFont="1" applyAlignment="1">
      <alignment horizontal="right"/>
    </xf>
    <xf numFmtId="166" fontId="6" fillId="0" borderId="1" xfId="4" applyNumberFormat="1" applyFont="1" applyBorder="1" applyAlignment="1">
      <alignment horizontal="center" vertical="center"/>
    </xf>
    <xf numFmtId="166" fontId="6" fillId="0" borderId="0" xfId="4" applyNumberFormat="1" applyFont="1" applyBorder="1" applyAlignment="1">
      <alignment horizontal="center" vertical="center"/>
    </xf>
    <xf numFmtId="166" fontId="7" fillId="0" borderId="1" xfId="4" applyNumberFormat="1" applyFont="1" applyBorder="1" applyAlignment="1">
      <alignment horizontal="center" vertical="center"/>
    </xf>
    <xf numFmtId="166" fontId="7" fillId="0" borderId="3" xfId="4" applyNumberFormat="1" applyFont="1" applyBorder="1" applyAlignment="1">
      <alignment horizontal="center" vertical="center"/>
    </xf>
    <xf numFmtId="166" fontId="6" fillId="0" borderId="0" xfId="4" applyNumberFormat="1" applyFont="1" applyAlignment="1">
      <alignment horizontal="center" vertical="center"/>
    </xf>
    <xf numFmtId="166" fontId="7" fillId="0" borderId="0" xfId="4" applyNumberFormat="1" applyFont="1" applyAlignment="1">
      <alignment horizontal="center" vertical="center"/>
    </xf>
    <xf numFmtId="43" fontId="7" fillId="0" borderId="0" xfId="4" applyNumberFormat="1" applyFont="1" applyAlignment="1">
      <alignment horizontal="center" vertical="center"/>
    </xf>
    <xf numFmtId="166" fontId="6" fillId="0" borderId="2" xfId="4" applyNumberFormat="1" applyFont="1" applyBorder="1" applyAlignment="1">
      <alignment horizontal="right"/>
    </xf>
    <xf numFmtId="166" fontId="7" fillId="0" borderId="2" xfId="4" applyNumberFormat="1" applyFont="1" applyBorder="1" applyAlignment="1">
      <alignment horizontal="right" vertical="center"/>
    </xf>
    <xf numFmtId="168" fontId="10" fillId="0" borderId="2" xfId="1" applyNumberFormat="1" applyFont="1" applyBorder="1"/>
    <xf numFmtId="0" fontId="11" fillId="0" borderId="0" xfId="2" applyFont="1"/>
    <xf numFmtId="166" fontId="11" fillId="0" borderId="0" xfId="4" applyNumberFormat="1" applyFont="1" applyBorder="1" applyAlignment="1">
      <alignment horizontal="right"/>
    </xf>
    <xf numFmtId="164" fontId="6" fillId="0" borderId="0" xfId="3" applyFont="1" applyBorder="1" applyAlignment="1">
      <alignment horizontal="right"/>
    </xf>
    <xf numFmtId="166" fontId="7" fillId="0" borderId="0" xfId="2" applyNumberFormat="1" applyFont="1" applyAlignment="1">
      <alignment horizontal="right" vertical="center"/>
    </xf>
  </cellXfs>
  <cellStyles count="7">
    <cellStyle name="Comma" xfId="1" builtinId="3"/>
    <cellStyle name="Comma 13" xfId="4"/>
    <cellStyle name="FRxAmtStyle" xfId="3"/>
    <cellStyle name="Normal" xfId="0" builtinId="0"/>
    <cellStyle name="Normal 16" xfId="2"/>
    <cellStyle name="Normal 2 7" xfId="6"/>
    <cellStyle name="Percent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nda.patton\AppData\Local\Microsoft\Windows\Temporary%20Internet%20Files\Content.Outlook\BO0IIB62\Budget%20Template%20-Tolson%202016%20457%2006.15.15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hafi.mcdowell\My%20Documents\HST%20-%20HOPE%20TOLSON%20FILES\Business%20Office%20Items\Budgets\FY2015%20Budget\Budget%20Tolson%20FY2015%2002.02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lassroom list"/>
      <sheetName val="Summary Budget"/>
      <sheetName val="Budget detail"/>
      <sheetName val="Salaries"/>
      <sheetName val="Imagine -Hope"/>
      <sheetName val="Direct ed &amp; PD"/>
      <sheetName val="General and Admin"/>
      <sheetName val="Schl serv &amp; Marketing"/>
      <sheetName val="Facility and rent"/>
      <sheetName val="Grant revenue"/>
      <sheetName val="Benefits"/>
      <sheetName val="Other revenues"/>
      <sheetName val="SPED 14-15"/>
      <sheetName val="Food Service"/>
      <sheetName val="Farm &amp; Sped Split"/>
      <sheetName val="FTE"/>
      <sheetName val="Classrooms"/>
      <sheetName val="Operating Budget"/>
      <sheetName val="Per Pupil - Budget Form"/>
      <sheetName val="Sheet1"/>
      <sheetName val="Test"/>
    </sheetNames>
    <sheetDataSet>
      <sheetData sheetId="0"/>
      <sheetData sheetId="1">
        <row r="4">
          <cell r="N4">
            <v>22</v>
          </cell>
        </row>
        <row r="33">
          <cell r="N33">
            <v>457</v>
          </cell>
        </row>
      </sheetData>
      <sheetData sheetId="2"/>
      <sheetData sheetId="3"/>
      <sheetData sheetId="4">
        <row r="46">
          <cell r="N46">
            <v>1692789.7200000002</v>
          </cell>
        </row>
        <row r="72">
          <cell r="N72">
            <v>287872</v>
          </cell>
        </row>
        <row r="92">
          <cell r="N92">
            <v>787606.7</v>
          </cell>
        </row>
        <row r="110">
          <cell r="N110">
            <v>500100</v>
          </cell>
        </row>
        <row r="116">
          <cell r="N116">
            <v>111322.8</v>
          </cell>
        </row>
        <row r="124">
          <cell r="N124">
            <v>148000</v>
          </cell>
        </row>
        <row r="139">
          <cell r="N139">
            <v>100000</v>
          </cell>
        </row>
      </sheetData>
      <sheetData sheetId="5">
        <row r="27">
          <cell r="G27">
            <v>0</v>
          </cell>
        </row>
        <row r="32">
          <cell r="G32">
            <v>4929575.28</v>
          </cell>
        </row>
        <row r="40">
          <cell r="G40">
            <v>961444.67999999993</v>
          </cell>
        </row>
        <row r="44">
          <cell r="G44">
            <v>58489.704000000012</v>
          </cell>
        </row>
        <row r="47">
          <cell r="G47">
            <v>162787.79999999999</v>
          </cell>
        </row>
        <row r="62">
          <cell r="G62">
            <v>515592</v>
          </cell>
        </row>
        <row r="69">
          <cell r="G69">
            <v>127525.01999999999</v>
          </cell>
        </row>
        <row r="76">
          <cell r="G76">
            <v>1403904</v>
          </cell>
        </row>
      </sheetData>
      <sheetData sheetId="6">
        <row r="5">
          <cell r="F5">
            <v>65000</v>
          </cell>
        </row>
        <row r="26">
          <cell r="F26">
            <v>30000</v>
          </cell>
        </row>
        <row r="50">
          <cell r="F50">
            <v>95000</v>
          </cell>
        </row>
        <row r="61">
          <cell r="F61">
            <v>17534</v>
          </cell>
        </row>
        <row r="73">
          <cell r="F73">
            <v>4000</v>
          </cell>
        </row>
        <row r="86">
          <cell r="F86">
            <v>2000</v>
          </cell>
        </row>
        <row r="98">
          <cell r="F98">
            <v>39100</v>
          </cell>
        </row>
        <row r="112">
          <cell r="F112">
            <v>36000</v>
          </cell>
        </row>
        <row r="128">
          <cell r="F128">
            <v>30000</v>
          </cell>
        </row>
        <row r="142">
          <cell r="D142">
            <v>0</v>
          </cell>
          <cell r="F142">
            <v>0</v>
          </cell>
        </row>
        <row r="161">
          <cell r="F161">
            <v>70000</v>
          </cell>
        </row>
      </sheetData>
      <sheetData sheetId="7">
        <row r="11">
          <cell r="F11">
            <v>52448</v>
          </cell>
        </row>
        <row r="25">
          <cell r="F25">
            <v>6562</v>
          </cell>
        </row>
        <row r="37">
          <cell r="F37">
            <v>0</v>
          </cell>
        </row>
        <row r="49">
          <cell r="F49">
            <v>83471.421839999995</v>
          </cell>
        </row>
        <row r="61">
          <cell r="F61">
            <v>12500</v>
          </cell>
        </row>
        <row r="74">
          <cell r="F74">
            <v>40000</v>
          </cell>
        </row>
        <row r="86">
          <cell r="F86">
            <v>15000</v>
          </cell>
        </row>
        <row r="100">
          <cell r="F100">
            <v>10000</v>
          </cell>
        </row>
        <row r="113">
          <cell r="F113">
            <v>2500</v>
          </cell>
        </row>
        <row r="132">
          <cell r="F132">
            <v>6000</v>
          </cell>
        </row>
        <row r="146">
          <cell r="D146">
            <v>0</v>
          </cell>
          <cell r="F146">
            <v>0</v>
          </cell>
        </row>
        <row r="160">
          <cell r="F160">
            <v>4000</v>
          </cell>
        </row>
        <row r="174">
          <cell r="F174">
            <v>8000</v>
          </cell>
        </row>
        <row r="188">
          <cell r="F188">
            <v>4000</v>
          </cell>
        </row>
        <row r="206">
          <cell r="F206">
            <v>21000</v>
          </cell>
        </row>
        <row r="220">
          <cell r="F220">
            <v>7500</v>
          </cell>
        </row>
        <row r="234">
          <cell r="F234">
            <v>3000</v>
          </cell>
        </row>
      </sheetData>
      <sheetData sheetId="8">
        <row r="46">
          <cell r="F46">
            <v>1800</v>
          </cell>
        </row>
        <row r="58">
          <cell r="F58">
            <v>3000</v>
          </cell>
        </row>
        <row r="70">
          <cell r="F70">
            <v>2400</v>
          </cell>
        </row>
        <row r="82">
          <cell r="F82">
            <v>16800</v>
          </cell>
        </row>
        <row r="95">
          <cell r="F95">
            <v>7200</v>
          </cell>
        </row>
        <row r="107">
          <cell r="F107">
            <v>17000</v>
          </cell>
        </row>
        <row r="123">
          <cell r="F123">
            <v>15648</v>
          </cell>
        </row>
        <row r="142">
          <cell r="F142">
            <v>20000</v>
          </cell>
        </row>
        <row r="155">
          <cell r="D155">
            <v>0</v>
          </cell>
          <cell r="F155">
            <v>3350</v>
          </cell>
        </row>
      </sheetData>
      <sheetData sheetId="9">
        <row r="5">
          <cell r="C5">
            <v>1329495.5833199997</v>
          </cell>
        </row>
        <row r="28">
          <cell r="C28">
            <v>144300</v>
          </cell>
        </row>
        <row r="40">
          <cell r="C40">
            <v>54800</v>
          </cell>
        </row>
        <row r="50">
          <cell r="C50">
            <v>30000</v>
          </cell>
        </row>
        <row r="58">
          <cell r="H58">
            <v>13721.16</v>
          </cell>
        </row>
      </sheetData>
      <sheetData sheetId="10">
        <row r="14">
          <cell r="C14">
            <v>187823.7</v>
          </cell>
        </row>
        <row r="61">
          <cell r="C61">
            <v>187823.7</v>
          </cell>
          <cell r="G61">
            <v>540.96872000000008</v>
          </cell>
          <cell r="I61">
            <v>51241.980560000004</v>
          </cell>
          <cell r="K61">
            <v>0</v>
          </cell>
          <cell r="O61">
            <v>0</v>
          </cell>
        </row>
      </sheetData>
      <sheetData sheetId="11">
        <row r="20">
          <cell r="D20">
            <v>0</v>
          </cell>
        </row>
        <row r="27">
          <cell r="E27">
            <v>70553.824400000012</v>
          </cell>
        </row>
        <row r="28">
          <cell r="E28">
            <v>269868.37833000004</v>
          </cell>
        </row>
        <row r="29">
          <cell r="E29">
            <v>88192.280500000008</v>
          </cell>
        </row>
        <row r="30">
          <cell r="E30">
            <v>440961.40250000003</v>
          </cell>
        </row>
        <row r="31">
          <cell r="E31">
            <v>88192.280500000008</v>
          </cell>
        </row>
        <row r="46">
          <cell r="B46">
            <v>22000</v>
          </cell>
        </row>
      </sheetData>
      <sheetData sheetId="12">
        <row r="2">
          <cell r="C2">
            <v>0</v>
          </cell>
        </row>
        <row r="7">
          <cell r="C7">
            <v>0</v>
          </cell>
        </row>
        <row r="13">
          <cell r="C13">
            <v>0</v>
          </cell>
        </row>
        <row r="20">
          <cell r="C20">
            <v>10000</v>
          </cell>
        </row>
        <row r="26">
          <cell r="C26">
            <v>10000</v>
          </cell>
        </row>
      </sheetData>
      <sheetData sheetId="13">
        <row r="43">
          <cell r="P43">
            <v>115390</v>
          </cell>
        </row>
      </sheetData>
      <sheetData sheetId="14">
        <row r="16">
          <cell r="E16">
            <v>0</v>
          </cell>
        </row>
        <row r="21">
          <cell r="E21">
            <v>225252.4</v>
          </cell>
        </row>
        <row r="26">
          <cell r="E26">
            <v>3525</v>
          </cell>
        </row>
        <row r="36">
          <cell r="E36">
            <v>225000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1 Detail"/>
      <sheetName val="Wishlist"/>
      <sheetName val="Notes"/>
      <sheetName val="Assumptions"/>
      <sheetName val="Summary Budget"/>
      <sheetName val="Budget Detail"/>
      <sheetName val="Classroom List"/>
      <sheetName val="Imagine -Hope"/>
      <sheetName val="Salaries"/>
      <sheetName val="Grant Revenue"/>
      <sheetName val="General and Admin"/>
      <sheetName val="Schl serv &amp; Marketing"/>
      <sheetName val="Direct ed &amp; PD"/>
      <sheetName val="Facility and Rent"/>
      <sheetName val="Benefits"/>
      <sheetName val="Food Service"/>
      <sheetName val="Other Revenues"/>
      <sheetName val="SPED 14-15"/>
      <sheetName val="FARM &amp; SPED"/>
      <sheetName val="Template"/>
      <sheetName val="SPED 13-14"/>
      <sheetName val="Sheet1"/>
      <sheetName val="Per Pupil Calc"/>
      <sheetName val="Summer School"/>
      <sheetName val="Per Pupil - Budget Form"/>
      <sheetName val="Khafi Work"/>
      <sheetName val="Tolson Salary Revi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9">
          <cell r="D9">
            <v>65000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97"/>
  <sheetViews>
    <sheetView tabSelected="1" view="pageLayout" zoomScale="57" zoomScaleNormal="77" zoomScalePageLayoutView="57" workbookViewId="0">
      <selection activeCell="B12" sqref="B12"/>
    </sheetView>
  </sheetViews>
  <sheetFormatPr defaultRowHeight="28.5" x14ac:dyDescent="0.45"/>
  <cols>
    <col min="1" max="1" width="9.140625" style="8"/>
    <col min="2" max="2" width="97" style="3" customWidth="1"/>
    <col min="3" max="3" width="15.7109375" style="30" hidden="1" customWidth="1"/>
    <col min="4" max="4" width="2" style="3" hidden="1" customWidth="1"/>
    <col min="5" max="5" width="16.85546875" style="30" hidden="1" customWidth="1"/>
    <col min="6" max="6" width="2" style="5" hidden="1" customWidth="1"/>
    <col min="7" max="7" width="16.85546875" style="30" hidden="1" customWidth="1"/>
    <col min="8" max="8" width="2" style="5" hidden="1" customWidth="1"/>
    <col min="9" max="9" width="20.28515625" style="6" hidden="1" customWidth="1"/>
    <col min="10" max="10" width="1.7109375" style="5" hidden="1" customWidth="1"/>
    <col min="11" max="11" width="11" style="5" hidden="1" customWidth="1"/>
    <col min="12" max="12" width="1.5703125" style="5" customWidth="1"/>
    <col min="13" max="13" width="24.42578125" style="6" bestFit="1" customWidth="1"/>
    <col min="14" max="14" width="25.42578125" style="7" customWidth="1"/>
    <col min="15" max="15" width="27" style="7" bestFit="1" customWidth="1"/>
    <col min="16" max="16384" width="9.140625" style="8"/>
  </cols>
  <sheetData>
    <row r="3" spans="2:15" x14ac:dyDescent="0.45">
      <c r="B3" s="1"/>
      <c r="C3" s="2"/>
      <c r="E3" s="4"/>
      <c r="G3" s="4"/>
    </row>
    <row r="4" spans="2:15" hidden="1" x14ac:dyDescent="0.45">
      <c r="C4" s="9" t="s">
        <v>7</v>
      </c>
      <c r="E4" s="9" t="s">
        <v>8</v>
      </c>
      <c r="F4" s="10"/>
      <c r="G4" s="9" t="s">
        <v>9</v>
      </c>
      <c r="H4" s="10"/>
      <c r="I4" s="11" t="s">
        <v>9</v>
      </c>
      <c r="J4" s="10"/>
      <c r="K4" s="10"/>
      <c r="L4" s="10"/>
      <c r="M4" s="12" t="s">
        <v>10</v>
      </c>
      <c r="N4" s="7" t="s">
        <v>10</v>
      </c>
    </row>
    <row r="5" spans="2:15" hidden="1" x14ac:dyDescent="0.45">
      <c r="C5" s="13" t="s">
        <v>0</v>
      </c>
      <c r="E5" s="13" t="s">
        <v>0</v>
      </c>
      <c r="F5" s="10"/>
      <c r="G5" s="13" t="s">
        <v>11</v>
      </c>
      <c r="H5" s="10"/>
      <c r="I5" s="14" t="s">
        <v>0</v>
      </c>
      <c r="J5" s="10"/>
      <c r="K5" s="10"/>
      <c r="L5" s="10"/>
      <c r="M5" s="15" t="s">
        <v>12</v>
      </c>
      <c r="N5" s="7" t="s">
        <v>12</v>
      </c>
    </row>
    <row r="6" spans="2:15" ht="29.25" hidden="1" thickBot="1" x14ac:dyDescent="0.5">
      <c r="B6" s="16" t="s">
        <v>1</v>
      </c>
      <c r="C6" s="17">
        <v>393</v>
      </c>
      <c r="D6" s="18"/>
      <c r="E6" s="17">
        <v>451</v>
      </c>
      <c r="F6" s="19"/>
      <c r="G6" s="17">
        <v>517</v>
      </c>
      <c r="H6" s="19"/>
      <c r="I6" s="17" t="s">
        <v>13</v>
      </c>
      <c r="J6" s="20"/>
      <c r="K6" s="20"/>
      <c r="L6" s="20"/>
      <c r="M6" s="21">
        <f>'[1]Classroom list'!N33</f>
        <v>457</v>
      </c>
      <c r="N6" s="7">
        <v>294</v>
      </c>
    </row>
    <row r="8" spans="2:15" s="29" customFormat="1" ht="57" thickBot="1" x14ac:dyDescent="0.5">
      <c r="B8" s="22" t="s">
        <v>2</v>
      </c>
      <c r="C8" s="23"/>
      <c r="D8" s="24"/>
      <c r="E8" s="23"/>
      <c r="F8" s="25"/>
      <c r="G8" s="23"/>
      <c r="H8" s="25"/>
      <c r="I8" s="26"/>
      <c r="J8" s="25"/>
      <c r="K8" s="25"/>
      <c r="L8" s="25"/>
      <c r="M8" s="27" t="s">
        <v>149</v>
      </c>
      <c r="N8" s="28" t="s">
        <v>150</v>
      </c>
      <c r="O8" s="28" t="s">
        <v>151</v>
      </c>
    </row>
    <row r="9" spans="2:15" ht="29.25" thickTop="1" x14ac:dyDescent="0.45"/>
    <row r="10" spans="2:15" x14ac:dyDescent="0.45">
      <c r="B10" s="31" t="s">
        <v>14</v>
      </c>
      <c r="C10" s="32"/>
    </row>
    <row r="11" spans="2:15" x14ac:dyDescent="0.45">
      <c r="B11" s="31" t="s">
        <v>15</v>
      </c>
      <c r="C11" s="32">
        <v>4218390.16</v>
      </c>
      <c r="E11" s="32">
        <v>4778732</v>
      </c>
      <c r="F11" s="33"/>
      <c r="G11" s="32">
        <v>5693491</v>
      </c>
      <c r="H11" s="33"/>
      <c r="I11" s="34">
        <v>4270119</v>
      </c>
      <c r="J11" s="33"/>
      <c r="K11" s="33"/>
      <c r="L11" s="33"/>
      <c r="M11" s="34">
        <f>'[1]Imagine -Hope'!G32</f>
        <v>4929575.28</v>
      </c>
      <c r="N11" s="7">
        <v>3036490.8000000003</v>
      </c>
      <c r="O11" s="7">
        <f>M11+N11</f>
        <v>7966066.0800000001</v>
      </c>
    </row>
    <row r="12" spans="2:15" x14ac:dyDescent="0.45">
      <c r="B12" s="31" t="s">
        <v>16</v>
      </c>
      <c r="C12" s="32">
        <v>1179000</v>
      </c>
      <c r="E12" s="32">
        <v>1353000</v>
      </c>
      <c r="F12" s="33"/>
      <c r="G12" s="32">
        <v>1588224</v>
      </c>
      <c r="H12" s="33"/>
      <c r="I12" s="34">
        <v>1191168</v>
      </c>
      <c r="J12" s="33"/>
      <c r="K12" s="33"/>
      <c r="L12" s="33"/>
      <c r="M12" s="34">
        <f>'[1]Imagine -Hope'!G76</f>
        <v>1403904</v>
      </c>
      <c r="N12" s="7">
        <v>847872</v>
      </c>
      <c r="O12" s="7">
        <f t="shared" ref="O12:O21" si="0">M12+N12</f>
        <v>2251776</v>
      </c>
    </row>
    <row r="13" spans="2:15" x14ac:dyDescent="0.45">
      <c r="B13" s="31" t="s">
        <v>17</v>
      </c>
      <c r="C13" s="32">
        <v>481090.27200000006</v>
      </c>
      <c r="E13" s="32">
        <v>916257</v>
      </c>
      <c r="F13" s="33"/>
      <c r="G13" s="32">
        <v>1153430</v>
      </c>
      <c r="H13" s="33"/>
      <c r="I13" s="34">
        <v>865073</v>
      </c>
      <c r="J13" s="33"/>
      <c r="K13" s="33"/>
      <c r="L13" s="33"/>
      <c r="M13" s="34">
        <f>'[1]Imagine -Hope'!G40+'[1]Imagine -Hope'!G44+'[1]Imagine -Hope'!G47+'[1]Imagine -Hope'!G69</f>
        <v>1310247.2039999999</v>
      </c>
      <c r="N13" s="7">
        <v>1250893.7279999999</v>
      </c>
      <c r="O13" s="7">
        <f t="shared" si="0"/>
        <v>2561140.932</v>
      </c>
    </row>
    <row r="14" spans="2:15" x14ac:dyDescent="0.45">
      <c r="B14" s="31" t="s">
        <v>18</v>
      </c>
      <c r="C14" s="32">
        <v>41362.133333333339</v>
      </c>
      <c r="E14" s="32">
        <v>34671</v>
      </c>
      <c r="F14" s="33"/>
      <c r="G14" s="32">
        <v>656332</v>
      </c>
      <c r="H14" s="33"/>
      <c r="I14" s="34">
        <v>492249</v>
      </c>
      <c r="J14" s="33"/>
      <c r="K14" s="33"/>
      <c r="L14" s="33"/>
      <c r="M14" s="34">
        <f>'[1]Imagine -Hope'!G62</f>
        <v>515592</v>
      </c>
      <c r="N14" s="7">
        <v>311850</v>
      </c>
      <c r="O14" s="7">
        <f t="shared" si="0"/>
        <v>827442</v>
      </c>
    </row>
    <row r="15" spans="2:15" hidden="1" x14ac:dyDescent="0.45">
      <c r="B15" s="31" t="s">
        <v>19</v>
      </c>
      <c r="C15" s="32">
        <v>258513.33333333337</v>
      </c>
      <c r="E15" s="32">
        <v>417658</v>
      </c>
      <c r="F15" s="33"/>
      <c r="G15" s="32"/>
      <c r="H15" s="33"/>
      <c r="I15" s="34"/>
      <c r="J15" s="33"/>
      <c r="K15" s="33"/>
      <c r="L15" s="33"/>
      <c r="O15" s="7">
        <f t="shared" si="0"/>
        <v>0</v>
      </c>
    </row>
    <row r="16" spans="2:15" x14ac:dyDescent="0.45">
      <c r="B16" s="31" t="s">
        <v>20</v>
      </c>
      <c r="C16" s="32">
        <v>210741.41476190474</v>
      </c>
      <c r="E16" s="32">
        <v>215814</v>
      </c>
      <c r="F16" s="33"/>
      <c r="G16" s="32">
        <v>208693</v>
      </c>
      <c r="H16" s="33"/>
      <c r="I16" s="34"/>
      <c r="J16" s="33"/>
      <c r="K16" s="33"/>
      <c r="L16" s="33"/>
      <c r="M16" s="34">
        <f>'[1]Grant revenue'!C61</f>
        <v>187823.7</v>
      </c>
      <c r="N16" s="7">
        <v>166954.40000000002</v>
      </c>
      <c r="O16" s="7">
        <f t="shared" si="0"/>
        <v>354778.10000000003</v>
      </c>
    </row>
    <row r="17" spans="2:15" x14ac:dyDescent="0.45">
      <c r="B17" s="31" t="s">
        <v>21</v>
      </c>
      <c r="C17" s="32">
        <v>53178.967741935485</v>
      </c>
      <c r="E17" s="32">
        <v>59553</v>
      </c>
      <c r="F17" s="33"/>
      <c r="G17" s="32">
        <v>64052</v>
      </c>
      <c r="H17" s="33"/>
      <c r="I17" s="34"/>
      <c r="J17" s="33"/>
      <c r="K17" s="33"/>
      <c r="L17" s="33"/>
      <c r="M17" s="34">
        <f>'[1]Grant revenue'!I61</f>
        <v>51241.980560000004</v>
      </c>
      <c r="N17" s="7">
        <v>18695.41</v>
      </c>
      <c r="O17" s="7">
        <f t="shared" si="0"/>
        <v>69937.39056</v>
      </c>
    </row>
    <row r="18" spans="2:15" hidden="1" x14ac:dyDescent="0.45">
      <c r="B18" s="31" t="s">
        <v>22</v>
      </c>
      <c r="C18" s="35"/>
      <c r="D18" s="36"/>
      <c r="E18" s="37">
        <v>8262</v>
      </c>
      <c r="F18" s="35"/>
      <c r="G18" s="37"/>
      <c r="H18" s="35"/>
      <c r="I18" s="38">
        <f>11268/2</f>
        <v>5634</v>
      </c>
      <c r="J18" s="35"/>
      <c r="K18" s="35"/>
      <c r="L18" s="35"/>
      <c r="M18" s="38">
        <f>'[1]Grant revenue'!O61</f>
        <v>0</v>
      </c>
      <c r="O18" s="7">
        <f t="shared" si="0"/>
        <v>0</v>
      </c>
    </row>
    <row r="19" spans="2:15" x14ac:dyDescent="0.45">
      <c r="B19" s="31" t="s">
        <v>23</v>
      </c>
      <c r="C19" s="32">
        <v>518.29354838709685</v>
      </c>
      <c r="E19" s="32">
        <v>314</v>
      </c>
      <c r="F19" s="33"/>
      <c r="G19" s="32">
        <v>676</v>
      </c>
      <c r="H19" s="33"/>
      <c r="I19" s="34">
        <v>154.97</v>
      </c>
      <c r="J19" s="33"/>
      <c r="K19" s="33"/>
      <c r="L19" s="33"/>
      <c r="M19" s="34">
        <f>'[1]Grant revenue'!G61</f>
        <v>540.96872000000008</v>
      </c>
      <c r="N19" s="7">
        <v>137.43</v>
      </c>
      <c r="O19" s="7">
        <f t="shared" si="0"/>
        <v>678.39872000000014</v>
      </c>
    </row>
    <row r="20" spans="2:15" hidden="1" x14ac:dyDescent="0.45">
      <c r="B20" s="31" t="s">
        <v>24</v>
      </c>
      <c r="C20" s="32">
        <v>15000</v>
      </c>
      <c r="E20" s="32">
        <v>39587.760000000002</v>
      </c>
      <c r="F20" s="33"/>
      <c r="G20" s="32"/>
      <c r="H20" s="33"/>
      <c r="I20" s="34"/>
      <c r="J20" s="33"/>
      <c r="K20" s="33"/>
      <c r="L20" s="33"/>
      <c r="M20" s="34">
        <f>'[1]Grant revenue'!K61</f>
        <v>0</v>
      </c>
      <c r="N20" s="7">
        <v>0</v>
      </c>
      <c r="O20" s="7">
        <f t="shared" si="0"/>
        <v>0</v>
      </c>
    </row>
    <row r="21" spans="2:15" ht="29.25" thickBot="1" x14ac:dyDescent="0.5">
      <c r="B21" s="31" t="s">
        <v>25</v>
      </c>
      <c r="C21" s="32">
        <v>259776.77279999998</v>
      </c>
      <c r="E21" s="32">
        <v>252254</v>
      </c>
      <c r="F21" s="33"/>
      <c r="G21" s="32">
        <v>184990</v>
      </c>
      <c r="H21" s="33"/>
      <c r="I21" s="34">
        <v>205763</v>
      </c>
      <c r="J21" s="33"/>
      <c r="K21" s="33"/>
      <c r="L21" s="33"/>
      <c r="M21" s="39">
        <f>'[1]Food Service'!E21</f>
        <v>225252.4</v>
      </c>
      <c r="N21" s="40">
        <v>132200</v>
      </c>
      <c r="O21" s="40">
        <f t="shared" si="0"/>
        <v>357452.4</v>
      </c>
    </row>
    <row r="22" spans="2:15" hidden="1" x14ac:dyDescent="0.45">
      <c r="B22" s="41" t="s">
        <v>26</v>
      </c>
      <c r="C22" s="32"/>
      <c r="E22" s="32"/>
      <c r="F22" s="33"/>
      <c r="G22" s="32"/>
      <c r="H22" s="33"/>
      <c r="I22" s="34"/>
      <c r="J22" s="33"/>
      <c r="K22" s="33"/>
      <c r="L22" s="33"/>
      <c r="M22" s="34"/>
      <c r="O22" s="7">
        <f t="shared" ref="O22:O75" si="1">M22+N22</f>
        <v>0</v>
      </c>
    </row>
    <row r="23" spans="2:15" ht="29.25" hidden="1" thickBot="1" x14ac:dyDescent="0.5">
      <c r="C23" s="42"/>
      <c r="E23" s="42"/>
      <c r="F23" s="33"/>
      <c r="G23" s="42"/>
      <c r="H23" s="33"/>
      <c r="I23" s="43"/>
      <c r="J23" s="33"/>
      <c r="K23" s="33"/>
      <c r="L23" s="33"/>
      <c r="M23" s="43"/>
      <c r="O23" s="40">
        <f t="shared" si="1"/>
        <v>0</v>
      </c>
    </row>
    <row r="24" spans="2:15" x14ac:dyDescent="0.45">
      <c r="B24" s="31" t="s">
        <v>27</v>
      </c>
      <c r="C24" s="32">
        <f>SUM(C11:C23)</f>
        <v>6717571.3475188948</v>
      </c>
      <c r="E24" s="32">
        <f>SUM(E11:E23)</f>
        <v>8076102.7599999998</v>
      </c>
      <c r="F24" s="33">
        <f>SUM(F11:F23)</f>
        <v>0</v>
      </c>
      <c r="G24" s="32">
        <f>SUM(G11:G23)</f>
        <v>9549888</v>
      </c>
      <c r="H24" s="33">
        <f>SUM(H11:H23)</f>
        <v>0</v>
      </c>
      <c r="I24" s="34">
        <f>SUM(I11:I21)</f>
        <v>7030160.9699999997</v>
      </c>
      <c r="J24" s="33"/>
      <c r="K24" s="33"/>
      <c r="L24" s="33"/>
      <c r="M24" s="44">
        <f t="shared" ref="M24" si="2">SUM(M11:M23)</f>
        <v>8624177.5332800001</v>
      </c>
      <c r="N24" s="44">
        <f t="shared" ref="N24" si="3">SUM(N11:N23)</f>
        <v>5765093.7680000002</v>
      </c>
      <c r="O24" s="44">
        <f t="shared" ref="O24" si="4">SUM(O11:O23)</f>
        <v>14389271.301279999</v>
      </c>
    </row>
    <row r="25" spans="2:15" x14ac:dyDescent="0.45">
      <c r="C25" s="32"/>
      <c r="E25" s="32"/>
      <c r="F25" s="33"/>
      <c r="G25" s="32"/>
      <c r="H25" s="33"/>
      <c r="I25" s="34"/>
      <c r="J25" s="33"/>
      <c r="K25" s="33"/>
      <c r="L25" s="33"/>
      <c r="M25" s="34"/>
      <c r="O25" s="7">
        <f t="shared" si="1"/>
        <v>0</v>
      </c>
    </row>
    <row r="26" spans="2:15" x14ac:dyDescent="0.45">
      <c r="B26" s="31" t="s">
        <v>28</v>
      </c>
      <c r="C26" s="32"/>
      <c r="E26" s="32"/>
      <c r="F26" s="33"/>
      <c r="G26" s="32"/>
      <c r="H26" s="33"/>
      <c r="I26" s="34"/>
      <c r="J26" s="33"/>
      <c r="K26" s="33"/>
      <c r="L26" s="33"/>
      <c r="M26" s="34"/>
      <c r="O26" s="7">
        <f t="shared" si="1"/>
        <v>0</v>
      </c>
    </row>
    <row r="27" spans="2:15" x14ac:dyDescent="0.45">
      <c r="B27" s="31" t="s">
        <v>29</v>
      </c>
      <c r="C27" s="32">
        <v>3525</v>
      </c>
      <c r="E27" s="32">
        <v>123</v>
      </c>
      <c r="F27" s="33"/>
      <c r="G27" s="32">
        <v>2233</v>
      </c>
      <c r="H27" s="33"/>
      <c r="I27" s="34">
        <v>47</v>
      </c>
      <c r="J27" s="33"/>
      <c r="K27" s="33"/>
      <c r="L27" s="33"/>
      <c r="M27" s="34">
        <f>'[1]Food Service'!E26</f>
        <v>3525</v>
      </c>
      <c r="N27" s="7">
        <v>3525</v>
      </c>
      <c r="O27" s="7">
        <f t="shared" si="1"/>
        <v>7050</v>
      </c>
    </row>
    <row r="28" spans="2:15" hidden="1" x14ac:dyDescent="0.45">
      <c r="B28" s="31" t="s">
        <v>30</v>
      </c>
      <c r="C28" s="32">
        <v>0</v>
      </c>
      <c r="E28" s="32">
        <v>38026</v>
      </c>
      <c r="F28" s="33"/>
      <c r="G28" s="32"/>
      <c r="H28" s="33"/>
      <c r="I28" s="34">
        <v>14410</v>
      </c>
      <c r="J28" s="33"/>
      <c r="K28" s="33"/>
      <c r="L28" s="33"/>
      <c r="M28" s="34">
        <f>'[1]Other revenues'!C7</f>
        <v>0</v>
      </c>
      <c r="N28" s="7">
        <v>0</v>
      </c>
      <c r="O28" s="7">
        <f t="shared" si="1"/>
        <v>0</v>
      </c>
    </row>
    <row r="29" spans="2:15" x14ac:dyDescent="0.45">
      <c r="B29" s="45" t="s">
        <v>31</v>
      </c>
      <c r="C29" s="32">
        <v>0</v>
      </c>
      <c r="E29" s="32"/>
      <c r="F29" s="33"/>
      <c r="G29" s="32"/>
      <c r="H29" s="33"/>
      <c r="I29" s="34"/>
      <c r="J29" s="33"/>
      <c r="K29" s="33"/>
      <c r="L29" s="33"/>
      <c r="M29" s="34">
        <f>'[1]Other revenues'!C13</f>
        <v>0</v>
      </c>
      <c r="N29" s="7">
        <v>27000</v>
      </c>
      <c r="O29" s="7">
        <f t="shared" si="1"/>
        <v>27000</v>
      </c>
    </row>
    <row r="30" spans="2:15" hidden="1" x14ac:dyDescent="0.45">
      <c r="B30" s="46" t="s">
        <v>32</v>
      </c>
      <c r="C30" s="32"/>
      <c r="E30" s="32"/>
      <c r="F30" s="33"/>
      <c r="G30" s="32"/>
      <c r="H30" s="33"/>
      <c r="I30" s="34"/>
      <c r="J30" s="33"/>
      <c r="K30" s="33"/>
      <c r="L30" s="33"/>
      <c r="M30" s="34"/>
      <c r="O30" s="7">
        <f t="shared" si="1"/>
        <v>0</v>
      </c>
    </row>
    <row r="31" spans="2:15" x14ac:dyDescent="0.45">
      <c r="B31" s="31" t="s">
        <v>33</v>
      </c>
      <c r="C31" s="32">
        <v>10000</v>
      </c>
      <c r="E31" s="32">
        <v>3390</v>
      </c>
      <c r="F31" s="33"/>
      <c r="G31" s="32">
        <v>12000</v>
      </c>
      <c r="H31" s="33"/>
      <c r="I31" s="34">
        <v>437</v>
      </c>
      <c r="J31" s="33"/>
      <c r="K31" s="33"/>
      <c r="L31" s="33"/>
      <c r="M31" s="34">
        <f>'[1]Other revenues'!C20</f>
        <v>10000</v>
      </c>
      <c r="N31" s="7">
        <v>8000</v>
      </c>
      <c r="O31" s="7">
        <f t="shared" si="1"/>
        <v>18000</v>
      </c>
    </row>
    <row r="32" spans="2:15" hidden="1" x14ac:dyDescent="0.45">
      <c r="B32" s="31" t="s">
        <v>34</v>
      </c>
      <c r="C32" s="32"/>
      <c r="E32" s="32"/>
      <c r="F32" s="33"/>
      <c r="G32" s="32"/>
      <c r="H32" s="33"/>
      <c r="I32" s="34"/>
      <c r="J32" s="33"/>
      <c r="K32" s="33"/>
      <c r="L32" s="33"/>
      <c r="M32" s="34"/>
      <c r="O32" s="7">
        <f t="shared" si="1"/>
        <v>0</v>
      </c>
    </row>
    <row r="33" spans="2:15" ht="29.25" thickBot="1" x14ac:dyDescent="0.5">
      <c r="B33" s="31" t="s">
        <v>35</v>
      </c>
      <c r="C33" s="32">
        <v>12000</v>
      </c>
      <c r="E33" s="32">
        <v>9382</v>
      </c>
      <c r="F33" s="33"/>
      <c r="G33" s="32">
        <v>10000</v>
      </c>
      <c r="H33" s="33"/>
      <c r="I33" s="34">
        <v>2050</v>
      </c>
      <c r="J33" s="33"/>
      <c r="K33" s="33"/>
      <c r="L33" s="33"/>
      <c r="M33" s="39">
        <f>'[1]Other revenues'!C26</f>
        <v>10000</v>
      </c>
      <c r="N33" s="40">
        <v>12000</v>
      </c>
      <c r="O33" s="40">
        <f t="shared" si="1"/>
        <v>22000</v>
      </c>
    </row>
    <row r="34" spans="2:15" hidden="1" x14ac:dyDescent="0.45">
      <c r="C34" s="42"/>
      <c r="E34" s="42"/>
      <c r="F34" s="33"/>
      <c r="G34" s="42"/>
      <c r="H34" s="33"/>
      <c r="I34" s="43"/>
      <c r="J34" s="33"/>
      <c r="K34" s="33"/>
      <c r="L34" s="33"/>
      <c r="M34" s="43"/>
      <c r="O34" s="7">
        <f t="shared" si="1"/>
        <v>0</v>
      </c>
    </row>
    <row r="35" spans="2:15" x14ac:dyDescent="0.45">
      <c r="B35" s="31" t="s">
        <v>36</v>
      </c>
      <c r="C35" s="32">
        <f>SUM(C27:C34)</f>
        <v>25525</v>
      </c>
      <c r="E35" s="32">
        <f>SUM(E27:E34)</f>
        <v>50921</v>
      </c>
      <c r="F35" s="33">
        <f>SUM(F27:F34)</f>
        <v>0</v>
      </c>
      <c r="G35" s="32">
        <f>SUM(G27:G34)</f>
        <v>24233</v>
      </c>
      <c r="H35" s="33">
        <f>SUM(H27:H34)</f>
        <v>0</v>
      </c>
      <c r="I35" s="34">
        <f>SUM(I27:I33)</f>
        <v>16944</v>
      </c>
      <c r="J35" s="33">
        <f>SUM(J27:J34)</f>
        <v>0</v>
      </c>
      <c r="K35" s="33"/>
      <c r="L35" s="33"/>
      <c r="M35" s="47">
        <f t="shared" ref="M35:N35" si="5">SUM(M25:M34)</f>
        <v>23525</v>
      </c>
      <c r="N35" s="47">
        <f t="shared" si="5"/>
        <v>50525</v>
      </c>
      <c r="O35" s="47">
        <f>SUM(O25:O34)</f>
        <v>74050</v>
      </c>
    </row>
    <row r="36" spans="2:15" hidden="1" x14ac:dyDescent="0.45">
      <c r="B36" s="31" t="s">
        <v>37</v>
      </c>
      <c r="C36" s="32"/>
      <c r="E36" s="32"/>
      <c r="F36" s="33"/>
      <c r="G36" s="32"/>
      <c r="H36" s="33"/>
      <c r="I36" s="34"/>
      <c r="J36" s="33"/>
      <c r="K36" s="33"/>
      <c r="L36" s="33"/>
      <c r="M36" s="34"/>
      <c r="O36" s="7">
        <f t="shared" si="1"/>
        <v>0</v>
      </c>
    </row>
    <row r="37" spans="2:15" hidden="1" x14ac:dyDescent="0.45">
      <c r="B37" s="31" t="s">
        <v>38</v>
      </c>
      <c r="C37" s="32">
        <v>0</v>
      </c>
      <c r="E37" s="32"/>
      <c r="F37" s="33"/>
      <c r="G37" s="32"/>
      <c r="H37" s="33"/>
      <c r="I37" s="34">
        <v>0</v>
      </c>
      <c r="J37" s="33"/>
      <c r="K37" s="33"/>
      <c r="L37" s="33"/>
      <c r="M37" s="34">
        <v>0</v>
      </c>
      <c r="N37" s="7">
        <v>0</v>
      </c>
      <c r="O37" s="7">
        <f t="shared" si="1"/>
        <v>0</v>
      </c>
    </row>
    <row r="38" spans="2:15" hidden="1" x14ac:dyDescent="0.45">
      <c r="B38" s="31"/>
      <c r="C38" s="32"/>
      <c r="E38" s="32"/>
      <c r="F38" s="33"/>
      <c r="G38" s="32"/>
      <c r="H38" s="33"/>
      <c r="I38" s="34"/>
      <c r="J38" s="33"/>
      <c r="K38" s="33"/>
      <c r="L38" s="33"/>
      <c r="M38" s="34"/>
      <c r="O38" s="7">
        <f t="shared" si="1"/>
        <v>0</v>
      </c>
    </row>
    <row r="39" spans="2:15" hidden="1" x14ac:dyDescent="0.45">
      <c r="B39" s="46" t="s">
        <v>39</v>
      </c>
      <c r="C39" s="32">
        <v>0</v>
      </c>
      <c r="E39" s="32"/>
      <c r="F39" s="33"/>
      <c r="G39" s="32"/>
      <c r="H39" s="33"/>
      <c r="I39" s="34">
        <v>0</v>
      </c>
      <c r="J39" s="33"/>
      <c r="K39" s="33"/>
      <c r="L39" s="33"/>
      <c r="M39" s="34">
        <v>0</v>
      </c>
      <c r="N39" s="7">
        <v>0</v>
      </c>
      <c r="O39" s="7">
        <f t="shared" si="1"/>
        <v>0</v>
      </c>
    </row>
    <row r="40" spans="2:15" hidden="1" x14ac:dyDescent="0.45">
      <c r="B40" s="46"/>
      <c r="C40" s="32"/>
      <c r="E40" s="32"/>
      <c r="F40" s="33"/>
      <c r="G40" s="32"/>
      <c r="H40" s="33"/>
      <c r="I40" s="34"/>
      <c r="J40" s="33"/>
      <c r="K40" s="33"/>
      <c r="L40" s="33"/>
      <c r="M40" s="34"/>
      <c r="O40" s="7">
        <f t="shared" si="1"/>
        <v>0</v>
      </c>
    </row>
    <row r="41" spans="2:15" hidden="1" x14ac:dyDescent="0.45">
      <c r="B41" s="46" t="s">
        <v>40</v>
      </c>
      <c r="C41" s="32"/>
      <c r="E41" s="32"/>
      <c r="F41" s="33"/>
      <c r="G41" s="32"/>
      <c r="H41" s="33"/>
      <c r="I41" s="34"/>
      <c r="J41" s="33"/>
      <c r="K41" s="33"/>
      <c r="L41" s="33"/>
      <c r="M41" s="34"/>
      <c r="O41" s="7">
        <f t="shared" si="1"/>
        <v>0</v>
      </c>
    </row>
    <row r="42" spans="2:15" hidden="1" x14ac:dyDescent="0.45">
      <c r="C42" s="42"/>
      <c r="E42" s="42"/>
      <c r="F42" s="33"/>
      <c r="G42" s="42"/>
      <c r="H42" s="33"/>
      <c r="I42" s="43"/>
      <c r="J42" s="33"/>
      <c r="K42" s="33"/>
      <c r="L42" s="33"/>
      <c r="M42" s="43"/>
      <c r="O42" s="7">
        <f t="shared" si="1"/>
        <v>0</v>
      </c>
    </row>
    <row r="43" spans="2:15" hidden="1" x14ac:dyDescent="0.45">
      <c r="B43" s="31" t="s">
        <v>41</v>
      </c>
      <c r="C43" s="32">
        <f>SUM(C37:C42)</f>
        <v>0</v>
      </c>
      <c r="E43" s="32">
        <f>SUM(E37:E42)</f>
        <v>0</v>
      </c>
      <c r="F43" s="33">
        <f>SUM(F37:F42)</f>
        <v>0</v>
      </c>
      <c r="G43" s="32">
        <f>SUM(G37:G42)</f>
        <v>0</v>
      </c>
      <c r="H43" s="33">
        <f>SUM(H37:H42)</f>
        <v>0</v>
      </c>
      <c r="I43" s="34">
        <f t="shared" ref="I43:M43" si="6">SUM(I37:I42)</f>
        <v>0</v>
      </c>
      <c r="J43" s="33">
        <f t="shared" si="6"/>
        <v>0</v>
      </c>
      <c r="K43" s="33"/>
      <c r="L43" s="33"/>
      <c r="M43" s="34">
        <f t="shared" si="6"/>
        <v>0</v>
      </c>
      <c r="N43" s="7">
        <v>0</v>
      </c>
      <c r="O43" s="7">
        <f t="shared" si="1"/>
        <v>0</v>
      </c>
    </row>
    <row r="44" spans="2:15" hidden="1" x14ac:dyDescent="0.45">
      <c r="C44" s="32"/>
      <c r="E44" s="32"/>
      <c r="F44" s="33"/>
      <c r="G44" s="32"/>
      <c r="H44" s="33"/>
      <c r="I44" s="34"/>
      <c r="J44" s="33"/>
      <c r="K44" s="33"/>
      <c r="L44" s="33"/>
      <c r="M44" s="34"/>
      <c r="O44" s="7">
        <f t="shared" si="1"/>
        <v>0</v>
      </c>
    </row>
    <row r="45" spans="2:15" ht="29.25" thickBot="1" x14ac:dyDescent="0.5">
      <c r="C45" s="42"/>
      <c r="E45" s="48"/>
      <c r="F45" s="33"/>
      <c r="G45" s="42"/>
      <c r="H45" s="33"/>
      <c r="I45" s="43"/>
      <c r="J45" s="33"/>
      <c r="K45" s="33"/>
      <c r="L45" s="33"/>
      <c r="M45" s="49"/>
      <c r="N45" s="50"/>
      <c r="O45" s="50">
        <f t="shared" si="1"/>
        <v>0</v>
      </c>
    </row>
    <row r="46" spans="2:15" ht="29.25" thickBot="1" x14ac:dyDescent="0.5">
      <c r="B46" s="51" t="s">
        <v>3</v>
      </c>
      <c r="C46" s="32">
        <f>C24+C35+C43</f>
        <v>6743096.3475188948</v>
      </c>
      <c r="D46" s="52"/>
      <c r="E46" s="32">
        <f>E24+E35+E43</f>
        <v>8127023.7599999998</v>
      </c>
      <c r="F46" s="32">
        <f>F24+F35+F43</f>
        <v>0</v>
      </c>
      <c r="G46" s="32">
        <f>G24+G35+G43</f>
        <v>9574121</v>
      </c>
      <c r="H46" s="32">
        <f>H24+H35+H43</f>
        <v>0</v>
      </c>
      <c r="I46" s="34">
        <f>I43+I35+I24</f>
        <v>7047104.9699999997</v>
      </c>
      <c r="J46" s="53"/>
      <c r="K46" s="53"/>
      <c r="L46" s="53"/>
      <c r="M46" s="54">
        <f t="shared" ref="M46:N46" si="7">M24+M35</f>
        <v>8647702.5332800001</v>
      </c>
      <c r="N46" s="54">
        <f t="shared" si="7"/>
        <v>5815618.7680000002</v>
      </c>
      <c r="O46" s="54">
        <f>O24+O35</f>
        <v>14463321.301279999</v>
      </c>
    </row>
    <row r="47" spans="2:15" x14ac:dyDescent="0.45">
      <c r="C47" s="32"/>
      <c r="E47" s="32"/>
      <c r="F47" s="33"/>
      <c r="G47" s="32"/>
      <c r="H47" s="33"/>
      <c r="I47" s="34"/>
      <c r="J47" s="33"/>
      <c r="K47" s="33"/>
      <c r="L47" s="33"/>
      <c r="M47" s="34"/>
      <c r="O47" s="7">
        <f t="shared" si="1"/>
        <v>0</v>
      </c>
    </row>
    <row r="48" spans="2:15" x14ac:dyDescent="0.45">
      <c r="B48" s="51" t="s">
        <v>4</v>
      </c>
      <c r="C48" s="32"/>
      <c r="D48" s="52"/>
      <c r="E48" s="32"/>
      <c r="F48" s="53"/>
      <c r="G48" s="32"/>
      <c r="H48" s="53"/>
      <c r="I48" s="34"/>
      <c r="J48" s="53"/>
      <c r="K48" s="53"/>
      <c r="L48" s="53"/>
      <c r="M48" s="34"/>
      <c r="O48" s="7">
        <f t="shared" si="1"/>
        <v>0</v>
      </c>
    </row>
    <row r="49" spans="2:15" x14ac:dyDescent="0.45">
      <c r="C49" s="32"/>
      <c r="E49" s="32"/>
      <c r="F49" s="33"/>
      <c r="G49" s="32"/>
      <c r="H49" s="33"/>
      <c r="I49" s="34"/>
      <c r="J49" s="33"/>
      <c r="K49" s="33"/>
      <c r="L49" s="33"/>
      <c r="M49" s="34"/>
      <c r="O49" s="7">
        <f t="shared" si="1"/>
        <v>0</v>
      </c>
    </row>
    <row r="50" spans="2:15" hidden="1" x14ac:dyDescent="0.45">
      <c r="B50" s="31" t="s">
        <v>42</v>
      </c>
      <c r="C50" s="32"/>
      <c r="E50" s="32"/>
      <c r="F50" s="33"/>
      <c r="G50" s="32"/>
      <c r="H50" s="33"/>
      <c r="I50" s="34"/>
      <c r="J50" s="33"/>
      <c r="K50" s="33"/>
      <c r="L50" s="33"/>
      <c r="M50" s="34"/>
      <c r="O50" s="7">
        <f t="shared" si="1"/>
        <v>0</v>
      </c>
    </row>
    <row r="51" spans="2:15" hidden="1" x14ac:dyDescent="0.45">
      <c r="B51" s="31" t="s">
        <v>43</v>
      </c>
      <c r="C51" s="32">
        <v>1097662.6833692307</v>
      </c>
      <c r="E51" s="32">
        <v>1175483</v>
      </c>
      <c r="F51" s="33"/>
      <c r="G51" s="32">
        <v>1465108</v>
      </c>
      <c r="H51" s="33"/>
      <c r="I51" s="34">
        <v>1094998</v>
      </c>
      <c r="J51" s="33"/>
      <c r="K51" s="33"/>
      <c r="L51" s="33"/>
      <c r="M51" s="34">
        <f>[1]Salaries!N46</f>
        <v>1692789.7200000002</v>
      </c>
      <c r="N51" s="7">
        <v>862735.29</v>
      </c>
      <c r="O51" s="7">
        <f t="shared" si="1"/>
        <v>2555525.0100000002</v>
      </c>
    </row>
    <row r="52" spans="2:15" hidden="1" x14ac:dyDescent="0.45">
      <c r="B52" s="31" t="s">
        <v>44</v>
      </c>
      <c r="C52" s="32">
        <v>37000</v>
      </c>
      <c r="E52" s="32"/>
      <c r="F52" s="33"/>
      <c r="G52" s="32"/>
      <c r="H52" s="33"/>
      <c r="I52" s="34"/>
      <c r="J52" s="33"/>
      <c r="K52" s="33"/>
      <c r="L52" s="33"/>
      <c r="M52" s="34">
        <f>[1]Benefits!B46</f>
        <v>22000</v>
      </c>
      <c r="N52" s="7">
        <v>0</v>
      </c>
      <c r="O52" s="7">
        <f t="shared" si="1"/>
        <v>22000</v>
      </c>
    </row>
    <row r="53" spans="2:15" hidden="1" x14ac:dyDescent="0.45">
      <c r="B53" s="31" t="s">
        <v>45</v>
      </c>
      <c r="C53" s="32">
        <v>378668.1157692307</v>
      </c>
      <c r="E53" s="32">
        <v>359415</v>
      </c>
      <c r="F53" s="33"/>
      <c r="G53" s="32">
        <v>374994</v>
      </c>
      <c r="H53" s="33"/>
      <c r="I53" s="34">
        <v>416737</v>
      </c>
      <c r="J53" s="33"/>
      <c r="K53" s="33"/>
      <c r="L53" s="33"/>
      <c r="M53" s="34">
        <f>[1]Salaries!N72</f>
        <v>287872</v>
      </c>
      <c r="N53" s="7">
        <v>216279.41</v>
      </c>
      <c r="O53" s="7">
        <f t="shared" si="1"/>
        <v>504151.41000000003</v>
      </c>
    </row>
    <row r="54" spans="2:15" hidden="1" x14ac:dyDescent="0.45">
      <c r="B54" s="31" t="s">
        <v>46</v>
      </c>
      <c r="C54" s="32">
        <v>422076.61023809528</v>
      </c>
      <c r="E54" s="32">
        <v>654208</v>
      </c>
      <c r="F54" s="33"/>
      <c r="G54" s="32">
        <v>964607</v>
      </c>
      <c r="H54" s="33"/>
      <c r="I54" s="34">
        <v>549974</v>
      </c>
      <c r="J54" s="33"/>
      <c r="K54" s="33"/>
      <c r="L54" s="33"/>
      <c r="M54" s="34">
        <f>[1]Salaries!N92-M55</f>
        <v>599783</v>
      </c>
      <c r="N54" s="7">
        <v>413256.86</v>
      </c>
      <c r="O54" s="7">
        <f t="shared" si="1"/>
        <v>1013039.86</v>
      </c>
    </row>
    <row r="55" spans="2:15" hidden="1" x14ac:dyDescent="0.45">
      <c r="B55" s="31" t="s">
        <v>47</v>
      </c>
      <c r="C55" s="32">
        <v>210741.41476190474</v>
      </c>
      <c r="E55" s="32">
        <v>189185</v>
      </c>
      <c r="F55" s="33"/>
      <c r="G55" s="32">
        <v>208693</v>
      </c>
      <c r="H55" s="33"/>
      <c r="I55" s="34">
        <v>141253</v>
      </c>
      <c r="J55" s="33"/>
      <c r="K55" s="33"/>
      <c r="L55" s="33"/>
      <c r="M55" s="34">
        <f>'[1]Grant revenue'!C14</f>
        <v>187823.7</v>
      </c>
      <c r="N55" s="7">
        <v>166954.40000000002</v>
      </c>
      <c r="O55" s="7">
        <f t="shared" si="1"/>
        <v>354778.10000000003</v>
      </c>
    </row>
    <row r="56" spans="2:15" hidden="1" x14ac:dyDescent="0.45">
      <c r="B56" s="31" t="s">
        <v>48</v>
      </c>
      <c r="C56" s="32"/>
      <c r="E56" s="32">
        <v>25000</v>
      </c>
      <c r="F56" s="33"/>
      <c r="G56" s="32"/>
      <c r="H56" s="33"/>
      <c r="I56" s="34"/>
      <c r="J56" s="33"/>
      <c r="K56" s="33"/>
      <c r="L56" s="33"/>
      <c r="M56" s="34"/>
      <c r="O56" s="7">
        <f t="shared" si="1"/>
        <v>0</v>
      </c>
    </row>
    <row r="57" spans="2:15" hidden="1" x14ac:dyDescent="0.45">
      <c r="B57" s="31" t="s">
        <v>49</v>
      </c>
      <c r="C57" s="32">
        <v>199317.5</v>
      </c>
      <c r="E57" s="32">
        <v>225076</v>
      </c>
      <c r="F57" s="33"/>
      <c r="G57" s="32">
        <v>415211</v>
      </c>
      <c r="H57" s="33"/>
      <c r="I57" s="34">
        <v>175206</v>
      </c>
      <c r="J57" s="33"/>
      <c r="K57" s="33"/>
      <c r="L57" s="33"/>
      <c r="M57" s="34">
        <f>[1]Salaries!N110</f>
        <v>500100</v>
      </c>
      <c r="N57" s="7">
        <v>284878.71999999997</v>
      </c>
      <c r="O57" s="7">
        <f t="shared" si="1"/>
        <v>784978.72</v>
      </c>
    </row>
    <row r="58" spans="2:15" hidden="1" x14ac:dyDescent="0.45">
      <c r="B58" s="31" t="s">
        <v>50</v>
      </c>
      <c r="C58" s="32">
        <v>24205</v>
      </c>
      <c r="E58" s="32"/>
      <c r="F58" s="33"/>
      <c r="G58" s="32"/>
      <c r="H58" s="33"/>
      <c r="I58" s="34"/>
      <c r="J58" s="33"/>
      <c r="K58" s="33"/>
      <c r="L58" s="33"/>
      <c r="M58" s="34"/>
      <c r="O58" s="7">
        <f t="shared" si="1"/>
        <v>0</v>
      </c>
    </row>
    <row r="59" spans="2:15" hidden="1" x14ac:dyDescent="0.45">
      <c r="B59" s="45" t="s">
        <v>51</v>
      </c>
      <c r="C59" s="55">
        <v>115681.29999999999</v>
      </c>
      <c r="D59" s="56"/>
      <c r="E59" s="55">
        <v>109776</v>
      </c>
      <c r="F59" s="57"/>
      <c r="G59" s="55">
        <v>131562</v>
      </c>
      <c r="H59" s="57"/>
      <c r="I59" s="58">
        <v>107460</v>
      </c>
      <c r="J59" s="57"/>
      <c r="K59" s="57"/>
      <c r="L59" s="57"/>
      <c r="M59" s="58">
        <f>[1]Salaries!N124</f>
        <v>148000</v>
      </c>
      <c r="N59" s="7">
        <v>102000</v>
      </c>
      <c r="O59" s="7">
        <f t="shared" si="1"/>
        <v>250000</v>
      </c>
    </row>
    <row r="60" spans="2:15" hidden="1" x14ac:dyDescent="0.45">
      <c r="B60" s="31" t="s">
        <v>52</v>
      </c>
      <c r="C60" s="32">
        <v>66778.87999999999</v>
      </c>
      <c r="E60" s="32">
        <v>106183</v>
      </c>
      <c r="F60" s="33"/>
      <c r="G60" s="32">
        <v>111323</v>
      </c>
      <c r="H60" s="33"/>
      <c r="I60" s="34">
        <v>82064</v>
      </c>
      <c r="J60" s="33"/>
      <c r="K60" s="33"/>
      <c r="L60" s="33"/>
      <c r="M60" s="34">
        <f>[1]Salaries!N116</f>
        <v>111322.8</v>
      </c>
      <c r="N60" s="7">
        <v>70992.94</v>
      </c>
      <c r="O60" s="7">
        <f t="shared" si="1"/>
        <v>182315.74</v>
      </c>
    </row>
    <row r="61" spans="2:15" hidden="1" x14ac:dyDescent="0.45">
      <c r="B61" s="31" t="s">
        <v>53</v>
      </c>
      <c r="C61" s="32">
        <v>6400</v>
      </c>
      <c r="E61" s="32">
        <v>434456</v>
      </c>
      <c r="F61" s="33"/>
      <c r="G61" s="32">
        <v>565000</v>
      </c>
      <c r="H61" s="33"/>
      <c r="I61" s="34">
        <f>[1]Salaries!N139</f>
        <v>100000</v>
      </c>
      <c r="J61" s="33"/>
      <c r="K61" s="33"/>
      <c r="L61" s="33"/>
      <c r="M61" s="34">
        <f>[1]Salaries!N139</f>
        <v>100000</v>
      </c>
      <c r="N61" s="7">
        <v>42000</v>
      </c>
      <c r="O61" s="7">
        <f t="shared" si="1"/>
        <v>142000</v>
      </c>
    </row>
    <row r="62" spans="2:15" hidden="1" x14ac:dyDescent="0.45">
      <c r="B62" s="31" t="s">
        <v>54</v>
      </c>
      <c r="C62" s="32">
        <v>41600</v>
      </c>
      <c r="E62" s="32">
        <v>9661</v>
      </c>
      <c r="F62" s="33"/>
      <c r="G62" s="32"/>
      <c r="H62" s="33"/>
      <c r="I62" s="34">
        <v>1345</v>
      </c>
      <c r="J62" s="33"/>
      <c r="K62" s="33"/>
      <c r="L62" s="33"/>
      <c r="M62" s="34">
        <f>[1]Benefits!D20</f>
        <v>0</v>
      </c>
      <c r="N62" s="7">
        <v>0</v>
      </c>
      <c r="O62" s="7">
        <f t="shared" si="1"/>
        <v>0</v>
      </c>
    </row>
    <row r="63" spans="2:15" hidden="1" x14ac:dyDescent="0.45">
      <c r="B63" s="31" t="s">
        <v>55</v>
      </c>
      <c r="C63" s="32">
        <v>34202.77634064835</v>
      </c>
      <c r="E63" s="32">
        <v>101430</v>
      </c>
      <c r="F63" s="33"/>
      <c r="G63" s="32">
        <v>114796</v>
      </c>
      <c r="H63" s="33"/>
      <c r="I63" s="34">
        <v>51548</v>
      </c>
      <c r="J63" s="33"/>
      <c r="K63" s="33"/>
      <c r="L63" s="33"/>
      <c r="M63" s="34">
        <f>[1]Benefits!E27</f>
        <v>70553.824400000012</v>
      </c>
      <c r="N63" s="7">
        <v>31756.4643</v>
      </c>
      <c r="O63" s="7">
        <f t="shared" si="1"/>
        <v>102310.2887</v>
      </c>
    </row>
    <row r="64" spans="2:15" hidden="1" x14ac:dyDescent="0.45">
      <c r="B64" s="31" t="s">
        <v>56</v>
      </c>
      <c r="C64" s="32">
        <v>174434.15933730657</v>
      </c>
      <c r="E64" s="32">
        <v>237868</v>
      </c>
      <c r="F64" s="33"/>
      <c r="G64" s="32">
        <v>325255</v>
      </c>
      <c r="H64" s="33"/>
      <c r="I64" s="34">
        <v>188579</v>
      </c>
      <c r="J64" s="33"/>
      <c r="K64" s="33"/>
      <c r="L64" s="33"/>
      <c r="M64" s="34">
        <f>[1]Benefits!E28</f>
        <v>269868.37833000004</v>
      </c>
      <c r="N64" s="7">
        <v>165557.03388400003</v>
      </c>
      <c r="O64" s="7">
        <f t="shared" si="1"/>
        <v>435425.41221400007</v>
      </c>
    </row>
    <row r="65" spans="2:15" hidden="1" x14ac:dyDescent="0.45">
      <c r="B65" s="31" t="s">
        <v>57</v>
      </c>
      <c r="C65" s="32">
        <v>22801.850893765568</v>
      </c>
      <c r="E65" s="32">
        <v>45578</v>
      </c>
      <c r="F65" s="33"/>
      <c r="G65" s="32">
        <v>127551</v>
      </c>
      <c r="H65" s="33"/>
      <c r="I65" s="34">
        <v>54897</v>
      </c>
      <c r="J65" s="33"/>
      <c r="K65" s="33"/>
      <c r="L65" s="33"/>
      <c r="M65" s="34">
        <f>[1]Benefits!E29</f>
        <v>88192.280500000008</v>
      </c>
      <c r="N65" s="7">
        <v>52927.440500000004</v>
      </c>
      <c r="O65" s="7">
        <f t="shared" si="1"/>
        <v>141119.72100000002</v>
      </c>
    </row>
    <row r="66" spans="2:15" hidden="1" x14ac:dyDescent="0.45">
      <c r="B66" s="31" t="s">
        <v>58</v>
      </c>
      <c r="C66" s="32">
        <v>300984.43179770547</v>
      </c>
      <c r="E66" s="32">
        <v>322165</v>
      </c>
      <c r="F66" s="33"/>
      <c r="G66" s="32">
        <v>425170</v>
      </c>
      <c r="H66" s="33"/>
      <c r="I66" s="34">
        <f>263230+35430.76</f>
        <v>298660.76</v>
      </c>
      <c r="J66" s="33"/>
      <c r="K66" s="33"/>
      <c r="L66" s="33"/>
      <c r="M66" s="34">
        <f>[1]Benefits!E30</f>
        <v>440961.40250000003</v>
      </c>
      <c r="N66" s="7">
        <v>264637.20250000001</v>
      </c>
      <c r="O66" s="7">
        <f t="shared" si="1"/>
        <v>705598.60499999998</v>
      </c>
    </row>
    <row r="67" spans="2:15" hidden="1" x14ac:dyDescent="0.45">
      <c r="B67" s="31" t="s">
        <v>59</v>
      </c>
      <c r="C67" s="32">
        <v>34202.77634064835</v>
      </c>
      <c r="E67" s="32">
        <v>48049</v>
      </c>
      <c r="F67" s="33"/>
      <c r="G67" s="32">
        <v>106292</v>
      </c>
      <c r="H67" s="33"/>
      <c r="I67" s="34">
        <f>31194+8857.7</f>
        <v>40051.699999999997</v>
      </c>
      <c r="J67" s="33"/>
      <c r="K67" s="33"/>
      <c r="L67" s="33"/>
      <c r="M67" s="34">
        <f>[1]Benefits!E31</f>
        <v>88192.280500000008</v>
      </c>
      <c r="N67" s="50">
        <v>54197.699072000003</v>
      </c>
      <c r="O67" s="50">
        <f t="shared" si="1"/>
        <v>142389.97957200001</v>
      </c>
    </row>
    <row r="68" spans="2:15" ht="29.25" hidden="1" thickBot="1" x14ac:dyDescent="0.5">
      <c r="C68" s="42"/>
      <c r="E68" s="42"/>
      <c r="F68" s="33"/>
      <c r="G68" s="42"/>
      <c r="H68" s="33"/>
      <c r="I68" s="43"/>
      <c r="J68" s="33"/>
      <c r="K68" s="33"/>
      <c r="L68" s="33"/>
      <c r="M68" s="39"/>
      <c r="N68" s="40"/>
      <c r="O68" s="40">
        <f t="shared" si="1"/>
        <v>0</v>
      </c>
    </row>
    <row r="69" spans="2:15" x14ac:dyDescent="0.45">
      <c r="B69" s="59" t="s">
        <v>60</v>
      </c>
      <c r="C69" s="32">
        <f>SUM(C51:C68)</f>
        <v>3166757.4988485361</v>
      </c>
      <c r="E69" s="32">
        <f>SUM(E51:E68)</f>
        <v>4043533</v>
      </c>
      <c r="F69" s="32">
        <f>SUM(F51:F68)</f>
        <v>0</v>
      </c>
      <c r="G69" s="32">
        <f>SUM(G51:G68)</f>
        <v>5335562</v>
      </c>
      <c r="H69" s="32">
        <f>SUM(H51:H68)</f>
        <v>0</v>
      </c>
      <c r="I69" s="34">
        <f>SUM(I51:I67)</f>
        <v>3302773.46</v>
      </c>
      <c r="J69" s="33" t="s">
        <v>61</v>
      </c>
      <c r="K69" s="33"/>
      <c r="L69" s="33"/>
      <c r="M69" s="34">
        <f>SUM(M51:M67)</f>
        <v>4607459.3862300003</v>
      </c>
      <c r="N69" s="7">
        <v>2728173.4602560005</v>
      </c>
      <c r="O69" s="7">
        <f t="shared" si="1"/>
        <v>7335632.8464860003</v>
      </c>
    </row>
    <row r="70" spans="2:15" hidden="1" x14ac:dyDescent="0.45">
      <c r="B70" s="60"/>
      <c r="E70" s="32"/>
      <c r="F70" s="33"/>
      <c r="G70" s="32"/>
      <c r="H70" s="33"/>
      <c r="I70" s="34"/>
      <c r="J70" s="33"/>
      <c r="K70" s="33"/>
      <c r="L70" s="33"/>
      <c r="M70" s="34"/>
      <c r="O70" s="7">
        <f t="shared" si="1"/>
        <v>0</v>
      </c>
    </row>
    <row r="71" spans="2:15" hidden="1" x14ac:dyDescent="0.45">
      <c r="B71" s="60"/>
      <c r="C71" s="32"/>
      <c r="E71" s="32"/>
      <c r="F71" s="33"/>
      <c r="G71" s="32"/>
      <c r="H71" s="33"/>
      <c r="I71" s="34"/>
      <c r="J71" s="33"/>
      <c r="K71" s="33"/>
      <c r="L71" s="33"/>
      <c r="M71" s="34"/>
      <c r="O71" s="7">
        <f t="shared" si="1"/>
        <v>0</v>
      </c>
    </row>
    <row r="72" spans="2:15" hidden="1" x14ac:dyDescent="0.45">
      <c r="B72" s="59" t="s">
        <v>62</v>
      </c>
      <c r="C72" s="32"/>
      <c r="E72" s="32"/>
      <c r="F72" s="33"/>
      <c r="G72" s="32"/>
      <c r="H72" s="33"/>
      <c r="I72" s="34"/>
      <c r="J72" s="33"/>
      <c r="K72" s="33"/>
      <c r="L72" s="33"/>
      <c r="M72" s="34"/>
      <c r="O72" s="7">
        <f t="shared" si="1"/>
        <v>0</v>
      </c>
    </row>
    <row r="73" spans="2:15" hidden="1" x14ac:dyDescent="0.45">
      <c r="B73" s="59" t="s">
        <v>63</v>
      </c>
      <c r="C73" s="32">
        <v>1460811.2752799999</v>
      </c>
      <c r="E73" s="32">
        <v>1285420</v>
      </c>
      <c r="F73" s="33"/>
      <c r="G73" s="32">
        <v>1311128</v>
      </c>
      <c r="H73" s="33"/>
      <c r="I73" s="34">
        <v>871515</v>
      </c>
      <c r="J73" s="33"/>
      <c r="K73" s="33"/>
      <c r="L73" s="33"/>
      <c r="M73" s="49">
        <f>'[1]Facility and rent'!C5</f>
        <v>1329495.5833199997</v>
      </c>
      <c r="N73" s="50">
        <v>1539607.8239999998</v>
      </c>
      <c r="O73" s="50">
        <f t="shared" si="1"/>
        <v>2869103.4073199993</v>
      </c>
    </row>
    <row r="74" spans="2:15" ht="29.25" hidden="1" thickBot="1" x14ac:dyDescent="0.5">
      <c r="B74" s="60"/>
      <c r="C74" s="42"/>
      <c r="E74" s="42"/>
      <c r="F74" s="33"/>
      <c r="G74" s="42"/>
      <c r="H74" s="33"/>
      <c r="I74" s="43"/>
      <c r="J74" s="33"/>
      <c r="K74" s="33"/>
      <c r="L74" s="33"/>
      <c r="M74" s="39"/>
      <c r="N74" s="40"/>
      <c r="O74" s="40">
        <f t="shared" si="1"/>
        <v>0</v>
      </c>
    </row>
    <row r="75" spans="2:15" x14ac:dyDescent="0.45">
      <c r="B75" s="59" t="s">
        <v>64</v>
      </c>
      <c r="C75" s="32">
        <f>SUM(C73:C74)</f>
        <v>1460811.2752799999</v>
      </c>
      <c r="E75" s="32">
        <f>SUM(E73:E74)</f>
        <v>1285420</v>
      </c>
      <c r="F75" s="32">
        <f t="shared" ref="F75:H75" si="8">SUM(F73:F74)</f>
        <v>0</v>
      </c>
      <c r="G75" s="32">
        <f>SUM(G73:G74)</f>
        <v>1311128</v>
      </c>
      <c r="H75" s="32">
        <f t="shared" si="8"/>
        <v>0</v>
      </c>
      <c r="I75" s="34">
        <f>I73</f>
        <v>871515</v>
      </c>
      <c r="J75" s="33" t="s">
        <v>61</v>
      </c>
      <c r="K75" s="33"/>
      <c r="L75" s="33"/>
      <c r="M75" s="34">
        <f>M73</f>
        <v>1329495.5833199997</v>
      </c>
      <c r="N75" s="7">
        <v>1539607.8239999998</v>
      </c>
      <c r="O75" s="7">
        <f t="shared" si="1"/>
        <v>2869103.4073199993</v>
      </c>
    </row>
    <row r="76" spans="2:15" hidden="1" x14ac:dyDescent="0.45">
      <c r="E76" s="32"/>
      <c r="F76" s="33"/>
      <c r="G76" s="32"/>
      <c r="H76" s="33"/>
      <c r="I76" s="34"/>
      <c r="J76" s="33"/>
      <c r="K76" s="33"/>
      <c r="L76" s="33"/>
      <c r="M76" s="34"/>
      <c r="O76" s="7">
        <f t="shared" ref="O76:O139" si="9">M76+N76</f>
        <v>0</v>
      </c>
    </row>
    <row r="77" spans="2:15" hidden="1" x14ac:dyDescent="0.45">
      <c r="C77" s="32"/>
      <c r="E77" s="32"/>
      <c r="F77" s="33"/>
      <c r="G77" s="32"/>
      <c r="H77" s="33"/>
      <c r="I77" s="34"/>
      <c r="J77" s="33"/>
      <c r="K77" s="33"/>
      <c r="L77" s="33"/>
      <c r="M77" s="34"/>
      <c r="O77" s="7">
        <f t="shared" si="9"/>
        <v>0</v>
      </c>
    </row>
    <row r="78" spans="2:15" hidden="1" x14ac:dyDescent="0.45">
      <c r="B78" s="59" t="s">
        <v>65</v>
      </c>
      <c r="C78" s="32"/>
      <c r="E78" s="32"/>
      <c r="F78" s="33"/>
      <c r="G78" s="32"/>
      <c r="H78" s="33"/>
      <c r="I78" s="34"/>
      <c r="J78" s="33"/>
      <c r="K78" s="33"/>
      <c r="L78" s="33"/>
      <c r="M78" s="34"/>
      <c r="O78" s="7">
        <f t="shared" si="9"/>
        <v>0</v>
      </c>
    </row>
    <row r="79" spans="2:15" hidden="1" x14ac:dyDescent="0.45">
      <c r="B79" s="31" t="s">
        <v>66</v>
      </c>
      <c r="C79" s="32">
        <v>30000</v>
      </c>
      <c r="E79" s="32">
        <v>150683</v>
      </c>
      <c r="F79" s="33"/>
      <c r="G79" s="32">
        <v>55000</v>
      </c>
      <c r="H79" s="33"/>
      <c r="I79" s="34">
        <v>63224</v>
      </c>
      <c r="J79" s="33"/>
      <c r="K79" s="33"/>
      <c r="L79" s="33"/>
      <c r="M79" s="34">
        <f>'[1]Direct ed &amp; PD'!F5</f>
        <v>65000</v>
      </c>
      <c r="N79" s="7">
        <v>9000</v>
      </c>
      <c r="O79" s="7">
        <f t="shared" si="9"/>
        <v>74000</v>
      </c>
    </row>
    <row r="80" spans="2:15" hidden="1" x14ac:dyDescent="0.45">
      <c r="B80" s="31" t="s">
        <v>67</v>
      </c>
      <c r="C80" s="32"/>
      <c r="E80" s="32"/>
      <c r="F80" s="33"/>
      <c r="G80" s="32"/>
      <c r="H80" s="33"/>
      <c r="I80" s="34"/>
      <c r="J80" s="33"/>
      <c r="K80" s="33"/>
      <c r="L80" s="33"/>
      <c r="M80" s="34"/>
      <c r="O80" s="7">
        <f t="shared" si="9"/>
        <v>0</v>
      </c>
    </row>
    <row r="81" spans="2:15" hidden="1" x14ac:dyDescent="0.45">
      <c r="B81" s="46" t="s">
        <v>68</v>
      </c>
      <c r="C81" s="32"/>
      <c r="E81" s="32"/>
      <c r="F81" s="33"/>
      <c r="G81" s="32"/>
      <c r="H81" s="33"/>
      <c r="I81" s="34"/>
      <c r="J81" s="33"/>
      <c r="K81" s="33"/>
      <c r="L81" s="33"/>
      <c r="M81" s="34"/>
      <c r="O81" s="7">
        <f t="shared" si="9"/>
        <v>0</v>
      </c>
    </row>
    <row r="82" spans="2:15" hidden="1" x14ac:dyDescent="0.45">
      <c r="B82" s="31" t="s">
        <v>69</v>
      </c>
      <c r="C82" s="32">
        <v>19000</v>
      </c>
      <c r="E82" s="32">
        <v>46420</v>
      </c>
      <c r="F82" s="33"/>
      <c r="G82" s="32">
        <v>30000</v>
      </c>
      <c r="H82" s="33"/>
      <c r="I82" s="34">
        <v>33195</v>
      </c>
      <c r="J82" s="33"/>
      <c r="K82" s="33"/>
      <c r="L82" s="33"/>
      <c r="M82" s="34">
        <f>'[1]Direct ed &amp; PD'!F26</f>
        <v>30000</v>
      </c>
      <c r="N82" s="7">
        <v>5000</v>
      </c>
      <c r="O82" s="7">
        <f t="shared" si="9"/>
        <v>35000</v>
      </c>
    </row>
    <row r="83" spans="2:15" hidden="1" x14ac:dyDescent="0.45">
      <c r="B83" s="46" t="s">
        <v>70</v>
      </c>
      <c r="C83" s="61"/>
      <c r="D83" s="62">
        <v>400</v>
      </c>
      <c r="E83" s="63">
        <v>0</v>
      </c>
      <c r="F83" s="61"/>
      <c r="G83" s="64">
        <v>65000</v>
      </c>
      <c r="H83" s="61"/>
      <c r="I83" s="62">
        <v>9745</v>
      </c>
      <c r="J83" s="65"/>
      <c r="K83" s="65"/>
      <c r="L83" s="65"/>
      <c r="M83" s="62">
        <f>'[2]Direct ed &amp; PD'!D9</f>
        <v>65000</v>
      </c>
      <c r="O83" s="7">
        <f t="shared" si="9"/>
        <v>65000</v>
      </c>
    </row>
    <row r="84" spans="2:15" hidden="1" x14ac:dyDescent="0.45">
      <c r="B84" s="46" t="s">
        <v>71</v>
      </c>
      <c r="C84" s="32"/>
      <c r="E84" s="32"/>
      <c r="F84" s="33"/>
      <c r="G84" s="32"/>
      <c r="H84" s="33"/>
      <c r="I84" s="34"/>
      <c r="J84" s="33"/>
      <c r="K84" s="33"/>
      <c r="L84" s="33"/>
      <c r="M84" s="34"/>
      <c r="O84" s="7">
        <f t="shared" si="9"/>
        <v>0</v>
      </c>
    </row>
    <row r="85" spans="2:15" hidden="1" x14ac:dyDescent="0.45">
      <c r="B85" s="31" t="s">
        <v>72</v>
      </c>
      <c r="C85" s="32">
        <v>22000</v>
      </c>
      <c r="E85" s="32">
        <v>11141</v>
      </c>
      <c r="F85" s="33"/>
      <c r="G85" s="32">
        <v>40483</v>
      </c>
      <c r="H85" s="33"/>
      <c r="I85" s="34">
        <v>10985</v>
      </c>
      <c r="J85" s="33"/>
      <c r="K85" s="33"/>
      <c r="L85" s="33"/>
      <c r="M85" s="34">
        <f>'[1]Direct ed &amp; PD'!F61</f>
        <v>17534</v>
      </c>
      <c r="N85" s="7">
        <v>10088</v>
      </c>
      <c r="O85" s="7">
        <f t="shared" si="9"/>
        <v>27622</v>
      </c>
    </row>
    <row r="86" spans="2:15" hidden="1" x14ac:dyDescent="0.45">
      <c r="B86" s="31" t="s">
        <v>73</v>
      </c>
      <c r="C86" s="32"/>
      <c r="E86" s="32">
        <v>39588</v>
      </c>
      <c r="F86" s="33"/>
      <c r="G86" s="32"/>
      <c r="H86" s="33"/>
      <c r="I86" s="34"/>
      <c r="J86" s="33"/>
      <c r="K86" s="33"/>
      <c r="L86" s="33"/>
      <c r="M86" s="34"/>
      <c r="O86" s="7">
        <f t="shared" si="9"/>
        <v>0</v>
      </c>
    </row>
    <row r="87" spans="2:15" hidden="1" x14ac:dyDescent="0.45">
      <c r="B87" s="31" t="s">
        <v>74</v>
      </c>
      <c r="C87" s="32">
        <v>1500</v>
      </c>
      <c r="E87" s="32">
        <v>1488</v>
      </c>
      <c r="F87" s="33"/>
      <c r="G87" s="32">
        <v>4000</v>
      </c>
      <c r="H87" s="33"/>
      <c r="I87" s="34">
        <v>2039</v>
      </c>
      <c r="J87" s="33"/>
      <c r="K87" s="33"/>
      <c r="L87" s="33"/>
      <c r="M87" s="34">
        <f>'[1]Direct ed &amp; PD'!F73</f>
        <v>4000</v>
      </c>
      <c r="N87" s="7">
        <v>3000</v>
      </c>
      <c r="O87" s="7">
        <f t="shared" si="9"/>
        <v>7000</v>
      </c>
    </row>
    <row r="88" spans="2:15" hidden="1" x14ac:dyDescent="0.45">
      <c r="B88" s="31" t="s">
        <v>75</v>
      </c>
      <c r="C88" s="32">
        <v>8000</v>
      </c>
      <c r="E88" s="32">
        <v>1031</v>
      </c>
      <c r="F88" s="33"/>
      <c r="G88" s="32">
        <v>2000</v>
      </c>
      <c r="H88" s="33"/>
      <c r="I88" s="34">
        <v>696</v>
      </c>
      <c r="J88" s="33"/>
      <c r="K88" s="33"/>
      <c r="L88" s="33"/>
      <c r="M88" s="34">
        <f>'[1]Direct ed &amp; PD'!F86</f>
        <v>2000</v>
      </c>
      <c r="N88" s="7">
        <v>2000</v>
      </c>
      <c r="O88" s="7">
        <f t="shared" si="9"/>
        <v>4000</v>
      </c>
    </row>
    <row r="89" spans="2:15" hidden="1" x14ac:dyDescent="0.45">
      <c r="B89" s="31" t="s">
        <v>76</v>
      </c>
      <c r="C89" s="32">
        <v>5000</v>
      </c>
      <c r="E89" s="32">
        <v>5500</v>
      </c>
      <c r="F89" s="33"/>
      <c r="G89" s="32">
        <v>33300</v>
      </c>
      <c r="H89" s="33"/>
      <c r="I89" s="34">
        <v>14723</v>
      </c>
      <c r="J89" s="33"/>
      <c r="K89" s="33"/>
      <c r="L89" s="33"/>
      <c r="M89" s="34">
        <f>'[1]Direct ed &amp; PD'!F98</f>
        <v>39100</v>
      </c>
      <c r="N89" s="7">
        <v>0</v>
      </c>
      <c r="O89" s="7">
        <f t="shared" si="9"/>
        <v>39100</v>
      </c>
    </row>
    <row r="90" spans="2:15" hidden="1" x14ac:dyDescent="0.45">
      <c r="B90" s="31" t="s">
        <v>77</v>
      </c>
      <c r="C90" s="32">
        <v>25320</v>
      </c>
      <c r="E90" s="32">
        <v>41761</v>
      </c>
      <c r="F90" s="33"/>
      <c r="G90" s="32">
        <v>33120</v>
      </c>
      <c r="H90" s="33"/>
      <c r="I90" s="34">
        <v>28010</v>
      </c>
      <c r="J90" s="33"/>
      <c r="K90" s="33"/>
      <c r="L90" s="33"/>
      <c r="M90" s="34">
        <f>'[1]Direct ed &amp; PD'!F112</f>
        <v>36000</v>
      </c>
      <c r="N90" s="7">
        <v>36000</v>
      </c>
      <c r="O90" s="7">
        <f t="shared" si="9"/>
        <v>72000</v>
      </c>
    </row>
    <row r="91" spans="2:15" hidden="1" x14ac:dyDescent="0.45">
      <c r="B91" s="46" t="s">
        <v>78</v>
      </c>
      <c r="C91" s="32"/>
      <c r="E91" s="32">
        <v>0</v>
      </c>
      <c r="F91" s="33"/>
      <c r="G91" s="32"/>
      <c r="H91" s="33"/>
      <c r="I91" s="34"/>
      <c r="J91" s="33"/>
      <c r="K91" s="33"/>
      <c r="L91" s="33"/>
      <c r="M91" s="34"/>
      <c r="O91" s="7">
        <f t="shared" si="9"/>
        <v>0</v>
      </c>
    </row>
    <row r="92" spans="2:15" ht="29.25" hidden="1" thickBot="1" x14ac:dyDescent="0.5">
      <c r="C92" s="42"/>
      <c r="E92" s="42"/>
      <c r="F92" s="33"/>
      <c r="G92" s="42"/>
      <c r="H92" s="33"/>
      <c r="I92" s="43"/>
      <c r="J92" s="33"/>
      <c r="K92" s="33"/>
      <c r="L92" s="33"/>
      <c r="M92" s="39"/>
      <c r="N92" s="40"/>
      <c r="O92" s="40">
        <f t="shared" si="9"/>
        <v>0</v>
      </c>
    </row>
    <row r="93" spans="2:15" x14ac:dyDescent="0.45">
      <c r="B93" s="59" t="s">
        <v>79</v>
      </c>
      <c r="C93" s="32">
        <f>SUM(C79:C92)</f>
        <v>110820</v>
      </c>
      <c r="E93" s="32">
        <f>SUM(E79:E92)</f>
        <v>297612</v>
      </c>
      <c r="F93" s="32">
        <f>SUM(F79:F92)</f>
        <v>0</v>
      </c>
      <c r="G93" s="32">
        <f>SUM(G79:G92)</f>
        <v>262903</v>
      </c>
      <c r="H93" s="32">
        <f>SUM(H79:H92)</f>
        <v>0</v>
      </c>
      <c r="I93" s="34">
        <f>SUM(I79:I90)</f>
        <v>162617</v>
      </c>
      <c r="J93" s="33" t="s">
        <v>61</v>
      </c>
      <c r="K93" s="33"/>
      <c r="L93" s="33"/>
      <c r="M93" s="34">
        <f>SUM(M79:M90)</f>
        <v>258634</v>
      </c>
      <c r="N93" s="7">
        <v>65088</v>
      </c>
      <c r="O93" s="7">
        <f t="shared" si="9"/>
        <v>323722</v>
      </c>
    </row>
    <row r="94" spans="2:15" hidden="1" x14ac:dyDescent="0.45">
      <c r="C94" s="33"/>
      <c r="E94" s="32"/>
      <c r="F94" s="33"/>
      <c r="G94" s="32"/>
      <c r="H94" s="33"/>
      <c r="I94" s="34"/>
      <c r="J94" s="33"/>
      <c r="K94" s="33"/>
      <c r="L94" s="33"/>
      <c r="M94" s="34"/>
      <c r="O94" s="7">
        <f t="shared" si="9"/>
        <v>0</v>
      </c>
    </row>
    <row r="95" spans="2:15" hidden="1" x14ac:dyDescent="0.45">
      <c r="C95" s="32"/>
      <c r="E95" s="32"/>
      <c r="F95" s="33"/>
      <c r="G95" s="32"/>
      <c r="H95" s="33"/>
      <c r="I95" s="34"/>
      <c r="J95" s="33"/>
      <c r="K95" s="33"/>
      <c r="L95" s="33"/>
      <c r="M95" s="34"/>
      <c r="O95" s="7">
        <f t="shared" si="9"/>
        <v>0</v>
      </c>
    </row>
    <row r="96" spans="2:15" hidden="1" x14ac:dyDescent="0.45">
      <c r="B96" s="31" t="s">
        <v>80</v>
      </c>
      <c r="C96" s="32"/>
      <c r="E96" s="32"/>
      <c r="F96" s="33"/>
      <c r="G96" s="32"/>
      <c r="H96" s="33"/>
      <c r="I96" s="34"/>
      <c r="J96" s="33"/>
      <c r="K96" s="33"/>
      <c r="L96" s="33"/>
      <c r="M96" s="34"/>
      <c r="O96" s="7">
        <f t="shared" si="9"/>
        <v>0</v>
      </c>
    </row>
    <row r="97" spans="2:15" hidden="1" x14ac:dyDescent="0.45">
      <c r="B97" s="31" t="s">
        <v>81</v>
      </c>
      <c r="C97" s="32">
        <v>37848</v>
      </c>
      <c r="E97" s="32"/>
      <c r="F97" s="33"/>
      <c r="G97" s="32"/>
      <c r="H97" s="33"/>
      <c r="I97" s="34"/>
      <c r="J97" s="33"/>
      <c r="K97" s="33"/>
      <c r="L97" s="33"/>
      <c r="M97" s="34"/>
      <c r="O97" s="7">
        <f t="shared" si="9"/>
        <v>0</v>
      </c>
    </row>
    <row r="98" spans="2:15" hidden="1" x14ac:dyDescent="0.45">
      <c r="C98" s="42"/>
      <c r="E98" s="42"/>
      <c r="F98" s="33"/>
      <c r="G98" s="42"/>
      <c r="H98" s="33"/>
      <c r="I98" s="43"/>
      <c r="J98" s="33"/>
      <c r="K98" s="33"/>
      <c r="L98" s="33"/>
      <c r="M98" s="43"/>
      <c r="O98" s="7">
        <f t="shared" si="9"/>
        <v>0</v>
      </c>
    </row>
    <row r="99" spans="2:15" hidden="1" x14ac:dyDescent="0.45">
      <c r="B99" s="31" t="s">
        <v>82</v>
      </c>
      <c r="C99" s="32">
        <f>SUM(C97:C98)</f>
        <v>37848</v>
      </c>
      <c r="E99" s="32">
        <f>SUM(E97:E98)</f>
        <v>0</v>
      </c>
      <c r="F99" s="32">
        <f t="shared" ref="F99:H99" si="10">SUM(F97:F98)</f>
        <v>0</v>
      </c>
      <c r="G99" s="32">
        <f>SUM(G97:G98)</f>
        <v>0</v>
      </c>
      <c r="H99" s="32">
        <f t="shared" si="10"/>
        <v>0</v>
      </c>
      <c r="I99" s="34">
        <f>I97</f>
        <v>0</v>
      </c>
      <c r="J99" s="33" t="s">
        <v>61</v>
      </c>
      <c r="K99" s="33"/>
      <c r="L99" s="33"/>
      <c r="M99" s="34">
        <f>M97</f>
        <v>0</v>
      </c>
      <c r="N99" s="7">
        <v>0</v>
      </c>
      <c r="O99" s="7">
        <f t="shared" si="9"/>
        <v>0</v>
      </c>
    </row>
    <row r="100" spans="2:15" hidden="1" x14ac:dyDescent="0.45">
      <c r="E100" s="32"/>
      <c r="F100" s="33"/>
      <c r="G100" s="32"/>
      <c r="H100" s="33"/>
      <c r="I100" s="34"/>
      <c r="J100" s="33"/>
      <c r="K100" s="33"/>
      <c r="L100" s="33"/>
      <c r="M100" s="34"/>
      <c r="O100" s="7">
        <f t="shared" si="9"/>
        <v>0</v>
      </c>
    </row>
    <row r="101" spans="2:15" hidden="1" x14ac:dyDescent="0.45">
      <c r="C101" s="32"/>
      <c r="E101" s="32"/>
      <c r="F101" s="33"/>
      <c r="G101" s="32"/>
      <c r="H101" s="33"/>
      <c r="I101" s="34"/>
      <c r="J101" s="33"/>
      <c r="K101" s="33"/>
      <c r="L101" s="33"/>
      <c r="M101" s="34"/>
      <c r="O101" s="7">
        <f t="shared" si="9"/>
        <v>0</v>
      </c>
    </row>
    <row r="102" spans="2:15" hidden="1" x14ac:dyDescent="0.45">
      <c r="B102" s="59" t="s">
        <v>83</v>
      </c>
      <c r="C102" s="32"/>
      <c r="E102" s="32"/>
      <c r="F102" s="33"/>
      <c r="G102" s="32"/>
      <c r="H102" s="33"/>
      <c r="I102" s="34"/>
      <c r="J102" s="33"/>
      <c r="K102" s="33"/>
      <c r="L102" s="33"/>
      <c r="M102" s="34"/>
      <c r="O102" s="7">
        <f t="shared" si="9"/>
        <v>0</v>
      </c>
    </row>
    <row r="103" spans="2:15" hidden="1" x14ac:dyDescent="0.45">
      <c r="B103" s="31" t="s">
        <v>84</v>
      </c>
      <c r="C103" s="32">
        <v>95000</v>
      </c>
      <c r="E103" s="32">
        <v>126312</v>
      </c>
      <c r="F103" s="33"/>
      <c r="G103" s="32">
        <v>144300</v>
      </c>
      <c r="H103" s="33"/>
      <c r="I103" s="34">
        <v>109665</v>
      </c>
      <c r="J103" s="33"/>
      <c r="K103" s="33"/>
      <c r="L103" s="33"/>
      <c r="M103" s="34">
        <f>'[1]Facility and rent'!C28</f>
        <v>144300</v>
      </c>
      <c r="N103" s="7">
        <v>110000</v>
      </c>
      <c r="O103" s="7">
        <f t="shared" si="9"/>
        <v>254300</v>
      </c>
    </row>
    <row r="104" spans="2:15" hidden="1" x14ac:dyDescent="0.45">
      <c r="B104" s="31" t="s">
        <v>85</v>
      </c>
      <c r="C104" s="32">
        <v>55000</v>
      </c>
      <c r="E104" s="32">
        <v>65708</v>
      </c>
      <c r="F104" s="33"/>
      <c r="G104" s="32">
        <v>56800</v>
      </c>
      <c r="H104" s="33"/>
      <c r="I104" s="34">
        <v>52308</v>
      </c>
      <c r="J104" s="33"/>
      <c r="K104" s="33"/>
      <c r="L104" s="33"/>
      <c r="M104" s="34">
        <f>'[1]Facility and rent'!C40+18000</f>
        <v>72800</v>
      </c>
      <c r="N104" s="7">
        <v>40000</v>
      </c>
      <c r="O104" s="7">
        <f t="shared" si="9"/>
        <v>112800</v>
      </c>
    </row>
    <row r="105" spans="2:15" hidden="1" x14ac:dyDescent="0.45">
      <c r="B105" s="31" t="s">
        <v>86</v>
      </c>
      <c r="C105" s="32">
        <v>25000</v>
      </c>
      <c r="E105" s="32">
        <f>29583+170</f>
        <v>29753</v>
      </c>
      <c r="F105" s="33"/>
      <c r="G105" s="32">
        <v>35000</v>
      </c>
      <c r="H105" s="33"/>
      <c r="I105" s="34">
        <v>18589</v>
      </c>
      <c r="J105" s="33"/>
      <c r="K105" s="33"/>
      <c r="L105" s="33"/>
      <c r="M105" s="34">
        <f>'[1]Facility and rent'!C50</f>
        <v>30000</v>
      </c>
      <c r="N105" s="7">
        <v>25000</v>
      </c>
      <c r="O105" s="7">
        <f t="shared" si="9"/>
        <v>55000</v>
      </c>
    </row>
    <row r="106" spans="2:15" hidden="1" x14ac:dyDescent="0.45">
      <c r="B106" s="31" t="s">
        <v>87</v>
      </c>
      <c r="C106" s="32">
        <v>12264</v>
      </c>
      <c r="E106" s="32">
        <v>16161</v>
      </c>
      <c r="F106" s="33"/>
      <c r="G106" s="32">
        <v>13721</v>
      </c>
      <c r="H106" s="33"/>
      <c r="I106" s="34">
        <v>19195</v>
      </c>
      <c r="J106" s="33"/>
      <c r="K106" s="33"/>
      <c r="L106" s="33"/>
      <c r="M106" s="34">
        <f>'[1]Facility and rent'!H58</f>
        <v>13721.16</v>
      </c>
      <c r="N106" s="7">
        <v>15000</v>
      </c>
      <c r="O106" s="7">
        <f t="shared" si="9"/>
        <v>28721.16</v>
      </c>
    </row>
    <row r="107" spans="2:15" ht="29.25" hidden="1" thickBot="1" x14ac:dyDescent="0.5">
      <c r="C107" s="42"/>
      <c r="E107" s="42"/>
      <c r="F107" s="33"/>
      <c r="G107" s="42"/>
      <c r="H107" s="33"/>
      <c r="I107" s="43"/>
      <c r="J107" s="33"/>
      <c r="K107" s="33"/>
      <c r="L107" s="33"/>
      <c r="M107" s="39"/>
      <c r="N107" s="40"/>
      <c r="O107" s="40">
        <f t="shared" si="9"/>
        <v>0</v>
      </c>
    </row>
    <row r="108" spans="2:15" x14ac:dyDescent="0.45">
      <c r="B108" s="59" t="s">
        <v>88</v>
      </c>
      <c r="C108" s="32">
        <f>SUM(C103:C107)</f>
        <v>187264</v>
      </c>
      <c r="E108" s="32">
        <f>SUM(E103:E107)</f>
        <v>237934</v>
      </c>
      <c r="F108" s="32">
        <f t="shared" ref="F108:H108" si="11">SUM(F103:F107)</f>
        <v>0</v>
      </c>
      <c r="G108" s="32">
        <f>SUM(G103:G107)</f>
        <v>249821</v>
      </c>
      <c r="H108" s="32">
        <f t="shared" si="11"/>
        <v>0</v>
      </c>
      <c r="I108" s="34">
        <f>SUM(I103:I106)</f>
        <v>199757</v>
      </c>
      <c r="J108" s="33"/>
      <c r="K108" s="33"/>
      <c r="L108" s="33"/>
      <c r="M108" s="34">
        <f>SUM(M103:M106)</f>
        <v>260821.16</v>
      </c>
      <c r="N108" s="7">
        <v>190000</v>
      </c>
      <c r="O108" s="7">
        <f t="shared" si="9"/>
        <v>450821.16000000003</v>
      </c>
    </row>
    <row r="109" spans="2:15" hidden="1" x14ac:dyDescent="0.45">
      <c r="E109" s="32"/>
      <c r="F109" s="33"/>
      <c r="G109" s="32"/>
      <c r="H109" s="33"/>
      <c r="I109" s="34"/>
      <c r="J109" s="33"/>
      <c r="K109" s="33"/>
      <c r="L109" s="33"/>
      <c r="M109" s="34"/>
      <c r="O109" s="7">
        <f t="shared" si="9"/>
        <v>0</v>
      </c>
    </row>
    <row r="110" spans="2:15" hidden="1" x14ac:dyDescent="0.45">
      <c r="C110" s="32"/>
      <c r="E110" s="32"/>
      <c r="F110" s="33"/>
      <c r="G110" s="32"/>
      <c r="H110" s="33"/>
      <c r="I110" s="34"/>
      <c r="J110" s="33"/>
      <c r="K110" s="33"/>
      <c r="L110" s="33"/>
      <c r="M110" s="34"/>
      <c r="O110" s="7">
        <f t="shared" si="9"/>
        <v>0</v>
      </c>
    </row>
    <row r="111" spans="2:15" hidden="1" x14ac:dyDescent="0.45">
      <c r="B111" s="59" t="s">
        <v>89</v>
      </c>
      <c r="C111" s="32"/>
      <c r="E111" s="32"/>
      <c r="F111" s="33"/>
      <c r="G111" s="32"/>
      <c r="H111" s="33"/>
      <c r="I111" s="34"/>
      <c r="J111" s="33"/>
      <c r="K111" s="33"/>
      <c r="L111" s="33"/>
      <c r="M111" s="34"/>
      <c r="O111" s="7">
        <f t="shared" si="9"/>
        <v>0</v>
      </c>
    </row>
    <row r="112" spans="2:15" hidden="1" x14ac:dyDescent="0.45">
      <c r="B112" s="31" t="s">
        <v>90</v>
      </c>
      <c r="C112" s="32">
        <v>11000</v>
      </c>
      <c r="E112" s="32">
        <v>34851</v>
      </c>
      <c r="F112" s="33"/>
      <c r="G112" s="32">
        <v>70000</v>
      </c>
      <c r="H112" s="33"/>
      <c r="I112" s="34">
        <f>63183+426</f>
        <v>63609</v>
      </c>
      <c r="J112" s="33"/>
      <c r="K112" s="33"/>
      <c r="L112" s="33"/>
      <c r="M112" s="34">
        <f>'[1]Direct ed &amp; PD'!F128</f>
        <v>30000</v>
      </c>
      <c r="N112" s="7">
        <v>18500</v>
      </c>
      <c r="O112" s="7">
        <f t="shared" si="9"/>
        <v>48500</v>
      </c>
    </row>
    <row r="113" spans="2:15" hidden="1" x14ac:dyDescent="0.45">
      <c r="B113" s="31" t="s">
        <v>91</v>
      </c>
      <c r="C113" s="32">
        <v>11000</v>
      </c>
      <c r="E113" s="32"/>
      <c r="F113" s="33"/>
      <c r="G113" s="32"/>
      <c r="H113" s="33"/>
      <c r="I113" s="34">
        <v>0</v>
      </c>
      <c r="J113" s="33"/>
      <c r="K113" s="33"/>
      <c r="L113" s="33"/>
      <c r="M113" s="34"/>
      <c r="O113" s="7">
        <f t="shared" si="9"/>
        <v>0</v>
      </c>
    </row>
    <row r="114" spans="2:15" hidden="1" x14ac:dyDescent="0.45">
      <c r="B114" s="31" t="s">
        <v>92</v>
      </c>
      <c r="C114" s="32"/>
      <c r="E114" s="32">
        <v>0</v>
      </c>
      <c r="F114" s="33"/>
      <c r="G114" s="32">
        <v>0</v>
      </c>
      <c r="H114" s="33"/>
      <c r="I114" s="34">
        <f>'[1]Direct ed &amp; PD'!D142</f>
        <v>0</v>
      </c>
      <c r="J114" s="33"/>
      <c r="K114" s="33"/>
      <c r="L114" s="33"/>
      <c r="M114" s="34">
        <f>'[1]Direct ed &amp; PD'!F142</f>
        <v>0</v>
      </c>
      <c r="N114" s="7">
        <v>0</v>
      </c>
      <c r="O114" s="7">
        <f t="shared" si="9"/>
        <v>0</v>
      </c>
    </row>
    <row r="115" spans="2:15" hidden="1" x14ac:dyDescent="0.45">
      <c r="B115" s="31" t="s">
        <v>93</v>
      </c>
      <c r="C115" s="32">
        <v>10000</v>
      </c>
      <c r="E115" s="32">
        <v>35834</v>
      </c>
      <c r="F115" s="33"/>
      <c r="G115" s="32">
        <v>45000</v>
      </c>
      <c r="H115" s="33"/>
      <c r="I115" s="34">
        <v>13768</v>
      </c>
      <c r="J115" s="33"/>
      <c r="K115" s="33"/>
      <c r="L115" s="33"/>
      <c r="M115" s="34">
        <f>'[1]Direct ed &amp; PD'!F161</f>
        <v>70000</v>
      </c>
      <c r="N115" s="7">
        <v>2000</v>
      </c>
      <c r="O115" s="7">
        <f t="shared" si="9"/>
        <v>72000</v>
      </c>
    </row>
    <row r="116" spans="2:15" ht="29.25" hidden="1" thickBot="1" x14ac:dyDescent="0.5">
      <c r="C116" s="42"/>
      <c r="E116" s="42"/>
      <c r="F116" s="33"/>
      <c r="G116" s="42"/>
      <c r="H116" s="33"/>
      <c r="I116" s="43"/>
      <c r="J116" s="33"/>
      <c r="K116" s="33"/>
      <c r="L116" s="33"/>
      <c r="M116" s="39"/>
      <c r="N116" s="40"/>
      <c r="O116" s="40">
        <f t="shared" si="9"/>
        <v>0</v>
      </c>
    </row>
    <row r="117" spans="2:15" x14ac:dyDescent="0.45">
      <c r="B117" s="51" t="s">
        <v>94</v>
      </c>
      <c r="C117" s="32">
        <f>SUM(C112:C116)</f>
        <v>32000</v>
      </c>
      <c r="E117" s="32">
        <f>SUM(E112:E116)</f>
        <v>70685</v>
      </c>
      <c r="F117" s="32">
        <f t="shared" ref="F117:H117" si="12">SUM(F112:F116)</f>
        <v>0</v>
      </c>
      <c r="G117" s="32">
        <f>SUM(G112:G116)</f>
        <v>115000</v>
      </c>
      <c r="H117" s="32">
        <f t="shared" si="12"/>
        <v>0</v>
      </c>
      <c r="I117" s="34">
        <f>SUM(I112:I115)</f>
        <v>77377</v>
      </c>
      <c r="J117" s="33" t="s">
        <v>61</v>
      </c>
      <c r="K117" s="33"/>
      <c r="L117" s="33"/>
      <c r="M117" s="34">
        <f>SUM(M112:M115)</f>
        <v>100000</v>
      </c>
      <c r="N117" s="7">
        <v>20500</v>
      </c>
      <c r="O117" s="7">
        <f t="shared" si="9"/>
        <v>120500</v>
      </c>
    </row>
    <row r="118" spans="2:15" hidden="1" x14ac:dyDescent="0.45">
      <c r="B118" s="52"/>
      <c r="E118" s="32"/>
      <c r="F118" s="33"/>
      <c r="G118" s="32"/>
      <c r="H118" s="33"/>
      <c r="I118" s="34"/>
      <c r="J118" s="33"/>
      <c r="K118" s="33"/>
      <c r="L118" s="33"/>
      <c r="M118" s="34"/>
      <c r="O118" s="7">
        <f t="shared" si="9"/>
        <v>0</v>
      </c>
    </row>
    <row r="119" spans="2:15" hidden="1" x14ac:dyDescent="0.45">
      <c r="B119" s="52"/>
      <c r="C119" s="32"/>
      <c r="E119" s="32"/>
      <c r="F119" s="33"/>
      <c r="G119" s="32"/>
      <c r="H119" s="33"/>
      <c r="I119" s="34"/>
      <c r="J119" s="33"/>
      <c r="K119" s="33"/>
      <c r="L119" s="33"/>
      <c r="M119" s="34"/>
      <c r="O119" s="7">
        <f t="shared" si="9"/>
        <v>0</v>
      </c>
    </row>
    <row r="120" spans="2:15" hidden="1" x14ac:dyDescent="0.45">
      <c r="B120" s="51" t="s">
        <v>95</v>
      </c>
      <c r="C120" s="32"/>
      <c r="E120" s="32"/>
      <c r="F120" s="33"/>
      <c r="G120" s="32"/>
      <c r="H120" s="33"/>
      <c r="I120" s="34"/>
      <c r="J120" s="33"/>
      <c r="K120" s="33"/>
      <c r="L120" s="33"/>
      <c r="M120" s="34"/>
      <c r="O120" s="7">
        <f t="shared" si="9"/>
        <v>0</v>
      </c>
    </row>
    <row r="121" spans="2:15" hidden="1" x14ac:dyDescent="0.45">
      <c r="B121" s="51" t="s">
        <v>96</v>
      </c>
      <c r="C121" s="32">
        <v>806531.56170226738</v>
      </c>
      <c r="E121" s="32">
        <v>945175</v>
      </c>
      <c r="F121" s="33"/>
      <c r="G121" s="32">
        <v>1146255</v>
      </c>
      <c r="H121" s="33"/>
      <c r="I121" s="34">
        <f>764169+95521.22</f>
        <v>859690.22</v>
      </c>
      <c r="J121" s="33"/>
      <c r="K121" s="33"/>
      <c r="L121" s="33"/>
      <c r="M121" s="34">
        <f>(M46-M33-M31-M28)*0.12</f>
        <v>1035324.3039936</v>
      </c>
      <c r="N121" s="7">
        <v>693674.25216000003</v>
      </c>
      <c r="O121" s="7">
        <f t="shared" si="9"/>
        <v>1728998.5561536001</v>
      </c>
    </row>
    <row r="122" spans="2:15" ht="29.25" hidden="1" thickBot="1" x14ac:dyDescent="0.5">
      <c r="B122" s="52"/>
      <c r="C122" s="42"/>
      <c r="E122" s="42"/>
      <c r="F122" s="33"/>
      <c r="G122" s="42"/>
      <c r="H122" s="33"/>
      <c r="I122" s="43"/>
      <c r="J122" s="33"/>
      <c r="K122" s="33"/>
      <c r="L122" s="33"/>
      <c r="M122" s="39"/>
      <c r="N122" s="40"/>
      <c r="O122" s="40">
        <f t="shared" si="9"/>
        <v>0</v>
      </c>
    </row>
    <row r="123" spans="2:15" x14ac:dyDescent="0.45">
      <c r="B123" s="51" t="s">
        <v>97</v>
      </c>
      <c r="C123" s="32">
        <f>SUM(C121:C122)</f>
        <v>806531.56170226738</v>
      </c>
      <c r="E123" s="32">
        <f>SUM(E121:E122)</f>
        <v>945175</v>
      </c>
      <c r="F123" s="32">
        <f t="shared" ref="F123:H123" si="13">SUM(F121:F122)</f>
        <v>0</v>
      </c>
      <c r="G123" s="32">
        <f>SUM(G121:G122)</f>
        <v>1146255</v>
      </c>
      <c r="H123" s="32">
        <f t="shared" si="13"/>
        <v>0</v>
      </c>
      <c r="I123" s="34">
        <f>I121</f>
        <v>859690.22</v>
      </c>
      <c r="J123" s="33" t="s">
        <v>61</v>
      </c>
      <c r="K123" s="33"/>
      <c r="L123" s="33"/>
      <c r="M123" s="34">
        <f>M121</f>
        <v>1035324.3039936</v>
      </c>
      <c r="N123" s="7">
        <v>693674.25216000003</v>
      </c>
      <c r="O123" s="7">
        <f t="shared" si="9"/>
        <v>1728998.5561536001</v>
      </c>
    </row>
    <row r="124" spans="2:15" hidden="1" x14ac:dyDescent="0.45">
      <c r="B124" s="52"/>
      <c r="C124" s="33"/>
      <c r="E124" s="32"/>
      <c r="F124" s="33"/>
      <c r="G124" s="32"/>
      <c r="H124" s="33"/>
      <c r="I124" s="34"/>
      <c r="J124" s="33"/>
      <c r="K124" s="33"/>
      <c r="L124" s="33"/>
      <c r="M124" s="34"/>
      <c r="O124" s="7">
        <f t="shared" si="9"/>
        <v>0</v>
      </c>
    </row>
    <row r="125" spans="2:15" hidden="1" x14ac:dyDescent="0.45">
      <c r="B125" s="52"/>
      <c r="C125" s="32"/>
      <c r="E125" s="32"/>
      <c r="F125" s="33"/>
      <c r="G125" s="32"/>
      <c r="H125" s="33"/>
      <c r="I125" s="34"/>
      <c r="J125" s="33"/>
      <c r="K125" s="33"/>
      <c r="L125" s="33"/>
      <c r="M125" s="34"/>
      <c r="O125" s="7">
        <f t="shared" si="9"/>
        <v>0</v>
      </c>
    </row>
    <row r="126" spans="2:15" hidden="1" x14ac:dyDescent="0.45">
      <c r="B126" s="51" t="s">
        <v>98</v>
      </c>
      <c r="C126" s="32"/>
      <c r="E126" s="32"/>
      <c r="F126" s="33"/>
      <c r="G126" s="32"/>
      <c r="H126" s="33"/>
      <c r="I126" s="34"/>
      <c r="J126" s="33"/>
      <c r="K126" s="33"/>
      <c r="L126" s="33"/>
      <c r="M126" s="34"/>
      <c r="O126" s="7">
        <f t="shared" si="9"/>
        <v>0</v>
      </c>
    </row>
    <row r="127" spans="2:15" hidden="1" x14ac:dyDescent="0.45">
      <c r="B127" s="51" t="s">
        <v>99</v>
      </c>
      <c r="C127" s="32">
        <v>15000</v>
      </c>
      <c r="E127" s="32">
        <v>35689</v>
      </c>
      <c r="F127" s="33"/>
      <c r="G127" s="32">
        <v>40000</v>
      </c>
      <c r="H127" s="33"/>
      <c r="I127" s="34">
        <v>19214</v>
      </c>
      <c r="J127" s="33"/>
      <c r="K127" s="33"/>
      <c r="L127" s="33"/>
      <c r="M127" s="34">
        <f>'[1]Schl serv &amp; Marketing'!F142</f>
        <v>20000</v>
      </c>
      <c r="N127" s="7">
        <v>7500</v>
      </c>
      <c r="O127" s="7">
        <f t="shared" si="9"/>
        <v>27500</v>
      </c>
    </row>
    <row r="128" spans="2:15" hidden="1" x14ac:dyDescent="0.45">
      <c r="B128" s="51" t="s">
        <v>100</v>
      </c>
      <c r="C128" s="32">
        <v>0</v>
      </c>
      <c r="E128" s="32"/>
      <c r="F128" s="33"/>
      <c r="G128" s="32">
        <v>1750</v>
      </c>
      <c r="H128" s="33"/>
      <c r="I128" s="34">
        <f>'[1]Schl serv &amp; Marketing'!D155</f>
        <v>0</v>
      </c>
      <c r="J128" s="33"/>
      <c r="K128" s="33"/>
      <c r="L128" s="33"/>
      <c r="M128" s="34">
        <f>'[1]Schl serv &amp; Marketing'!F155</f>
        <v>3350</v>
      </c>
      <c r="N128" s="7">
        <v>3350</v>
      </c>
      <c r="O128" s="7">
        <f t="shared" si="9"/>
        <v>6700</v>
      </c>
    </row>
    <row r="129" spans="2:15" ht="29.25" hidden="1" thickBot="1" x14ac:dyDescent="0.5">
      <c r="B129" s="52"/>
      <c r="C129" s="42"/>
      <c r="E129" s="42"/>
      <c r="F129" s="33"/>
      <c r="G129" s="42"/>
      <c r="H129" s="33"/>
      <c r="I129" s="43"/>
      <c r="J129" s="33"/>
      <c r="K129" s="33"/>
      <c r="L129" s="33"/>
      <c r="M129" s="39"/>
      <c r="N129" s="40"/>
      <c r="O129" s="40">
        <f t="shared" si="9"/>
        <v>0</v>
      </c>
    </row>
    <row r="130" spans="2:15" x14ac:dyDescent="0.45">
      <c r="B130" s="51" t="s">
        <v>101</v>
      </c>
      <c r="C130" s="32">
        <f>SUM(C127:C129)</f>
        <v>15000</v>
      </c>
      <c r="E130" s="32">
        <f>SUM(E127:E129)</f>
        <v>35689</v>
      </c>
      <c r="F130" s="32">
        <f t="shared" ref="F130:H130" si="14">SUM(F127:F129)</f>
        <v>0</v>
      </c>
      <c r="G130" s="32">
        <f>SUM(G127:G129)</f>
        <v>41750</v>
      </c>
      <c r="H130" s="32">
        <f t="shared" si="14"/>
        <v>0</v>
      </c>
      <c r="I130" s="34">
        <f>SUM(I127:I128)</f>
        <v>19214</v>
      </c>
      <c r="J130" s="33" t="s">
        <v>61</v>
      </c>
      <c r="K130" s="33"/>
      <c r="L130" s="33"/>
      <c r="M130" s="34">
        <f>SUM(M127:M128)</f>
        <v>23350</v>
      </c>
      <c r="N130" s="7">
        <v>10850</v>
      </c>
      <c r="O130" s="7">
        <f t="shared" si="9"/>
        <v>34200</v>
      </c>
    </row>
    <row r="131" spans="2:15" hidden="1" x14ac:dyDescent="0.45">
      <c r="B131" s="52"/>
      <c r="E131" s="32"/>
      <c r="F131" s="33"/>
      <c r="G131" s="32"/>
      <c r="H131" s="33"/>
      <c r="I131" s="34"/>
      <c r="J131" s="33"/>
      <c r="K131" s="33"/>
      <c r="L131" s="33"/>
      <c r="M131" s="34"/>
      <c r="O131" s="7">
        <f t="shared" si="9"/>
        <v>0</v>
      </c>
    </row>
    <row r="132" spans="2:15" hidden="1" x14ac:dyDescent="0.45">
      <c r="B132" s="52"/>
      <c r="C132" s="32"/>
      <c r="E132" s="32"/>
      <c r="F132" s="33"/>
      <c r="G132" s="32"/>
      <c r="H132" s="33"/>
      <c r="I132" s="34"/>
      <c r="J132" s="33"/>
      <c r="K132" s="33"/>
      <c r="L132" s="33"/>
      <c r="M132" s="34"/>
      <c r="O132" s="7">
        <f t="shared" si="9"/>
        <v>0</v>
      </c>
    </row>
    <row r="133" spans="2:15" hidden="1" x14ac:dyDescent="0.45">
      <c r="B133" s="59" t="s">
        <v>102</v>
      </c>
      <c r="C133" s="32"/>
      <c r="E133" s="32"/>
      <c r="F133" s="33"/>
      <c r="G133" s="32"/>
      <c r="H133" s="33"/>
      <c r="I133" s="34"/>
      <c r="J133" s="33"/>
      <c r="K133" s="33"/>
      <c r="L133" s="33"/>
      <c r="M133" s="34"/>
      <c r="O133" s="7">
        <f t="shared" si="9"/>
        <v>0</v>
      </c>
    </row>
    <row r="134" spans="2:15" hidden="1" x14ac:dyDescent="0.45">
      <c r="B134" s="51" t="s">
        <v>103</v>
      </c>
      <c r="C134" s="32">
        <v>32371</v>
      </c>
      <c r="E134" s="32">
        <v>27166</v>
      </c>
      <c r="F134" s="33"/>
      <c r="G134" s="32">
        <v>52448</v>
      </c>
      <c r="H134" s="33"/>
      <c r="I134" s="34">
        <v>50077</v>
      </c>
      <c r="J134" s="33"/>
      <c r="K134" s="33"/>
      <c r="L134" s="33"/>
      <c r="M134" s="34">
        <f>'[1]General and Admin'!F11</f>
        <v>52448</v>
      </c>
      <c r="N134" s="7">
        <v>54396.17</v>
      </c>
      <c r="O134" s="7">
        <f t="shared" si="9"/>
        <v>106844.17</v>
      </c>
    </row>
    <row r="135" spans="2:15" hidden="1" x14ac:dyDescent="0.45">
      <c r="B135" s="51" t="s">
        <v>104</v>
      </c>
      <c r="C135" s="32">
        <v>3000</v>
      </c>
      <c r="E135" s="32">
        <v>4936</v>
      </c>
      <c r="F135" s="33"/>
      <c r="G135" s="32">
        <v>6562</v>
      </c>
      <c r="H135" s="33"/>
      <c r="I135" s="34">
        <v>1840</v>
      </c>
      <c r="J135" s="33"/>
      <c r="K135" s="33"/>
      <c r="L135" s="33"/>
      <c r="M135" s="34">
        <f>'[1]General and Admin'!F25</f>
        <v>6562</v>
      </c>
      <c r="N135" s="7">
        <v>5500</v>
      </c>
      <c r="O135" s="7">
        <f t="shared" si="9"/>
        <v>12062</v>
      </c>
    </row>
    <row r="136" spans="2:15" hidden="1" x14ac:dyDescent="0.45">
      <c r="B136" s="51" t="s">
        <v>105</v>
      </c>
      <c r="C136" s="32">
        <v>8000</v>
      </c>
      <c r="E136" s="32"/>
      <c r="F136" s="33"/>
      <c r="G136" s="32"/>
      <c r="H136" s="33"/>
      <c r="I136" s="34">
        <v>0</v>
      </c>
      <c r="J136" s="33"/>
      <c r="K136" s="33"/>
      <c r="L136" s="33"/>
      <c r="M136" s="34">
        <f>'[1]General and Admin'!F37</f>
        <v>0</v>
      </c>
      <c r="N136" s="7">
        <v>0</v>
      </c>
      <c r="O136" s="7">
        <f t="shared" si="9"/>
        <v>0</v>
      </c>
    </row>
    <row r="137" spans="2:15" hidden="1" x14ac:dyDescent="0.45">
      <c r="B137" s="51" t="s">
        <v>106</v>
      </c>
      <c r="C137" s="32">
        <v>30891.779493333335</v>
      </c>
      <c r="E137" s="32">
        <v>42409</v>
      </c>
      <c r="F137" s="33"/>
      <c r="G137" s="32">
        <v>95499</v>
      </c>
      <c r="H137" s="33"/>
      <c r="I137" s="34">
        <v>99463</v>
      </c>
      <c r="J137" s="33"/>
      <c r="K137" s="33"/>
      <c r="L137" s="33"/>
      <c r="M137" s="34">
        <f>'[1]General and Admin'!F49</f>
        <v>83471.421839999995</v>
      </c>
      <c r="N137" s="7">
        <v>58405.065280000003</v>
      </c>
      <c r="O137" s="7">
        <f t="shared" si="9"/>
        <v>141876.48712000001</v>
      </c>
    </row>
    <row r="138" spans="2:15" hidden="1" x14ac:dyDescent="0.45">
      <c r="B138" s="51" t="s">
        <v>107</v>
      </c>
      <c r="C138" s="32">
        <v>14000</v>
      </c>
      <c r="E138" s="32">
        <v>11878.5</v>
      </c>
      <c r="F138" s="33"/>
      <c r="G138" s="32">
        <v>12500</v>
      </c>
      <c r="H138" s="33"/>
      <c r="I138" s="34">
        <v>10000</v>
      </c>
      <c r="J138" s="33"/>
      <c r="K138" s="33"/>
      <c r="L138" s="33"/>
      <c r="M138" s="34">
        <f>'[1]General and Admin'!F61</f>
        <v>12500</v>
      </c>
      <c r="N138" s="7">
        <v>16000</v>
      </c>
      <c r="O138" s="7">
        <f t="shared" si="9"/>
        <v>28500</v>
      </c>
    </row>
    <row r="139" spans="2:15" hidden="1" x14ac:dyDescent="0.45">
      <c r="B139" s="51" t="s">
        <v>108</v>
      </c>
      <c r="C139" s="32">
        <v>45000</v>
      </c>
      <c r="E139" s="32">
        <v>51637</v>
      </c>
      <c r="F139" s="33"/>
      <c r="G139" s="32">
        <v>40000</v>
      </c>
      <c r="H139" s="33"/>
      <c r="I139" s="34">
        <v>13333</v>
      </c>
      <c r="J139" s="33"/>
      <c r="K139" s="33"/>
      <c r="L139" s="33"/>
      <c r="M139" s="34">
        <f>'[1]General and Admin'!F74</f>
        <v>40000</v>
      </c>
      <c r="N139" s="7">
        <v>40000</v>
      </c>
      <c r="O139" s="7">
        <f t="shared" si="9"/>
        <v>80000</v>
      </c>
    </row>
    <row r="140" spans="2:15" hidden="1" x14ac:dyDescent="0.45">
      <c r="B140" s="51" t="s">
        <v>109</v>
      </c>
      <c r="C140" s="32">
        <v>5000</v>
      </c>
      <c r="E140" s="32">
        <v>307</v>
      </c>
      <c r="F140" s="33"/>
      <c r="G140" s="32">
        <v>15000</v>
      </c>
      <c r="H140" s="33"/>
      <c r="I140" s="34">
        <v>2778</v>
      </c>
      <c r="J140" s="33"/>
      <c r="K140" s="33"/>
      <c r="L140" s="33"/>
      <c r="M140" s="34">
        <f>'[1]General and Admin'!F86</f>
        <v>15000</v>
      </c>
      <c r="N140" s="7">
        <v>0</v>
      </c>
      <c r="O140" s="7">
        <f t="shared" ref="O140:O187" si="15">M140+N140</f>
        <v>15000</v>
      </c>
    </row>
    <row r="141" spans="2:15" hidden="1" x14ac:dyDescent="0.45">
      <c r="B141" s="51" t="s">
        <v>110</v>
      </c>
      <c r="C141" s="32">
        <v>12000</v>
      </c>
      <c r="E141" s="32">
        <v>41115</v>
      </c>
      <c r="F141" s="33"/>
      <c r="G141" s="32">
        <v>12500</v>
      </c>
      <c r="H141" s="33"/>
      <c r="I141" s="34">
        <v>18360</v>
      </c>
      <c r="J141" s="33"/>
      <c r="K141" s="33"/>
      <c r="L141" s="33"/>
      <c r="M141" s="34">
        <f>'[1]General and Admin'!F100</f>
        <v>10000</v>
      </c>
      <c r="N141" s="7">
        <v>12000</v>
      </c>
      <c r="O141" s="7">
        <f t="shared" si="15"/>
        <v>22000</v>
      </c>
    </row>
    <row r="142" spans="2:15" hidden="1" x14ac:dyDescent="0.45">
      <c r="B142" s="51" t="s">
        <v>111</v>
      </c>
      <c r="C142" s="66"/>
      <c r="D142" s="36">
        <v>1533.48</v>
      </c>
      <c r="E142" s="66"/>
      <c r="F142" s="67"/>
      <c r="G142" s="66"/>
      <c r="H142" s="67"/>
      <c r="I142" s="68">
        <v>0</v>
      </c>
      <c r="J142" s="67"/>
      <c r="K142" s="67"/>
      <c r="L142" s="67"/>
      <c r="M142" s="68">
        <v>0</v>
      </c>
      <c r="N142" s="7">
        <v>0</v>
      </c>
      <c r="O142" s="7">
        <f t="shared" si="15"/>
        <v>0</v>
      </c>
    </row>
    <row r="143" spans="2:15" hidden="1" x14ac:dyDescent="0.45">
      <c r="B143" s="51" t="s">
        <v>112</v>
      </c>
      <c r="C143" s="32">
        <v>3000</v>
      </c>
      <c r="E143" s="32">
        <v>2162</v>
      </c>
      <c r="F143" s="33"/>
      <c r="G143" s="32">
        <v>6000</v>
      </c>
      <c r="H143" s="33"/>
      <c r="I143" s="34">
        <v>0</v>
      </c>
      <c r="J143" s="33"/>
      <c r="K143" s="33"/>
      <c r="L143" s="33"/>
      <c r="M143" s="34">
        <f>'[1]General and Admin'!F132</f>
        <v>6000</v>
      </c>
      <c r="N143" s="7">
        <v>1500</v>
      </c>
      <c r="O143" s="7">
        <f t="shared" si="15"/>
        <v>7500</v>
      </c>
    </row>
    <row r="144" spans="2:15" hidden="1" x14ac:dyDescent="0.45">
      <c r="B144" s="51" t="s">
        <v>113</v>
      </c>
      <c r="C144" s="32">
        <v>0</v>
      </c>
      <c r="E144" s="32">
        <v>0</v>
      </c>
      <c r="F144" s="33"/>
      <c r="G144" s="32"/>
      <c r="H144" s="33"/>
      <c r="I144" s="34">
        <f>'[1]General and Admin'!D146</f>
        <v>0</v>
      </c>
      <c r="J144" s="33"/>
      <c r="K144" s="33"/>
      <c r="L144" s="33"/>
      <c r="M144" s="34">
        <f>'[1]General and Admin'!F146</f>
        <v>0</v>
      </c>
      <c r="N144" s="7">
        <v>0</v>
      </c>
      <c r="O144" s="7">
        <f t="shared" si="15"/>
        <v>0</v>
      </c>
    </row>
    <row r="145" spans="2:15" hidden="1" x14ac:dyDescent="0.45">
      <c r="B145" s="59" t="s">
        <v>114</v>
      </c>
      <c r="C145" s="32"/>
      <c r="E145" s="32">
        <v>22508</v>
      </c>
      <c r="F145" s="33"/>
      <c r="G145" s="32">
        <v>105000</v>
      </c>
      <c r="H145" s="33"/>
      <c r="I145" s="34">
        <v>37380</v>
      </c>
      <c r="J145" s="33"/>
      <c r="K145" s="33"/>
      <c r="L145" s="33"/>
      <c r="M145" s="34">
        <f>'[1]Direct ed &amp; PD'!F50</f>
        <v>95000</v>
      </c>
      <c r="N145" s="7">
        <v>0</v>
      </c>
      <c r="O145" s="7">
        <f t="shared" si="15"/>
        <v>95000</v>
      </c>
    </row>
    <row r="146" spans="2:15" hidden="1" x14ac:dyDescent="0.45">
      <c r="B146" s="69" t="s">
        <v>115</v>
      </c>
      <c r="C146" s="61"/>
      <c r="D146" s="65"/>
      <c r="E146" s="63"/>
      <c r="F146" s="61"/>
      <c r="G146" s="64">
        <v>2500</v>
      </c>
      <c r="H146" s="61"/>
      <c r="I146" s="65"/>
      <c r="J146" s="65"/>
      <c r="K146" s="65"/>
      <c r="L146" s="65"/>
      <c r="M146" s="62">
        <f>'[1]General and Admin'!F113</f>
        <v>2500</v>
      </c>
      <c r="N146" s="7">
        <v>4500</v>
      </c>
      <c r="O146" s="7">
        <f t="shared" si="15"/>
        <v>7000</v>
      </c>
    </row>
    <row r="147" spans="2:15" hidden="1" x14ac:dyDescent="0.45">
      <c r="B147" s="51" t="s">
        <v>116</v>
      </c>
      <c r="C147" s="32">
        <v>2500</v>
      </c>
      <c r="E147" s="32">
        <v>0</v>
      </c>
      <c r="F147" s="33"/>
      <c r="G147" s="32"/>
      <c r="H147" s="33"/>
      <c r="I147" s="34">
        <v>0</v>
      </c>
      <c r="J147" s="33"/>
      <c r="K147" s="33"/>
      <c r="L147" s="33"/>
      <c r="M147" s="34">
        <f>'[1]General and Admin'!F160</f>
        <v>4000</v>
      </c>
      <c r="O147" s="7">
        <f t="shared" si="15"/>
        <v>4000</v>
      </c>
    </row>
    <row r="148" spans="2:15" hidden="1" x14ac:dyDescent="0.45">
      <c r="B148" s="70" t="s">
        <v>117</v>
      </c>
      <c r="C148" s="32"/>
      <c r="E148" s="32"/>
      <c r="F148" s="33"/>
      <c r="G148" s="32"/>
      <c r="H148" s="33"/>
      <c r="I148" s="34"/>
      <c r="J148" s="33"/>
      <c r="K148" s="33"/>
      <c r="L148" s="33"/>
      <c r="M148" s="34"/>
      <c r="O148" s="7">
        <f t="shared" si="15"/>
        <v>0</v>
      </c>
    </row>
    <row r="149" spans="2:15" hidden="1" x14ac:dyDescent="0.45">
      <c r="B149" s="51" t="s">
        <v>118</v>
      </c>
      <c r="C149" s="32">
        <v>8000</v>
      </c>
      <c r="E149" s="32">
        <v>15025</v>
      </c>
      <c r="F149" s="33"/>
      <c r="G149" s="32">
        <v>12000</v>
      </c>
      <c r="H149" s="33"/>
      <c r="I149" s="34">
        <v>522</v>
      </c>
      <c r="J149" s="33"/>
      <c r="K149" s="33"/>
      <c r="L149" s="33"/>
      <c r="M149" s="34">
        <f>'[1]General and Admin'!F174</f>
        <v>8000</v>
      </c>
      <c r="N149" s="7">
        <v>8000</v>
      </c>
      <c r="O149" s="7">
        <f t="shared" si="15"/>
        <v>16000</v>
      </c>
    </row>
    <row r="150" spans="2:15" hidden="1" x14ac:dyDescent="0.45">
      <c r="B150" s="51" t="s">
        <v>119</v>
      </c>
      <c r="C150" s="32">
        <v>4000</v>
      </c>
      <c r="E150" s="32">
        <v>0</v>
      </c>
      <c r="F150" s="33"/>
      <c r="G150" s="32">
        <v>6000</v>
      </c>
      <c r="H150" s="33"/>
      <c r="I150" s="34">
        <v>0</v>
      </c>
      <c r="J150" s="33"/>
      <c r="K150" s="33"/>
      <c r="L150" s="33"/>
      <c r="M150" s="34">
        <f>'[1]General and Admin'!F188</f>
        <v>4000</v>
      </c>
      <c r="N150" s="7">
        <v>0</v>
      </c>
      <c r="O150" s="7">
        <f t="shared" si="15"/>
        <v>4000</v>
      </c>
    </row>
    <row r="151" spans="2:15" hidden="1" x14ac:dyDescent="0.45">
      <c r="B151" s="51" t="s">
        <v>120</v>
      </c>
      <c r="C151" s="32">
        <v>30000</v>
      </c>
      <c r="E151" s="32">
        <v>19145</v>
      </c>
      <c r="F151" s="33"/>
      <c r="G151" s="32">
        <v>30000</v>
      </c>
      <c r="H151" s="33"/>
      <c r="I151" s="34">
        <v>38187</v>
      </c>
      <c r="J151" s="33"/>
      <c r="K151" s="33"/>
      <c r="L151" s="33"/>
      <c r="M151" s="34">
        <f>'[1]General and Admin'!F206</f>
        <v>21000</v>
      </c>
      <c r="N151" s="7">
        <v>6000</v>
      </c>
      <c r="O151" s="7">
        <f t="shared" si="15"/>
        <v>27000</v>
      </c>
    </row>
    <row r="152" spans="2:15" hidden="1" x14ac:dyDescent="0.45">
      <c r="B152" s="51" t="s">
        <v>121</v>
      </c>
      <c r="C152" s="32"/>
      <c r="E152" s="32"/>
      <c r="F152" s="33"/>
      <c r="G152" s="32"/>
      <c r="H152" s="33"/>
      <c r="I152" s="68">
        <v>0</v>
      </c>
      <c r="J152" s="33"/>
      <c r="K152" s="33"/>
      <c r="L152" s="33"/>
      <c r="M152" s="34"/>
      <c r="O152" s="7">
        <f t="shared" si="15"/>
        <v>0</v>
      </c>
    </row>
    <row r="153" spans="2:15" hidden="1" x14ac:dyDescent="0.45">
      <c r="B153" s="70" t="s">
        <v>122</v>
      </c>
      <c r="C153" s="32"/>
      <c r="E153" s="32"/>
      <c r="F153" s="33"/>
      <c r="G153" s="32">
        <v>7500</v>
      </c>
      <c r="H153" s="33"/>
      <c r="I153" s="34"/>
      <c r="J153" s="33"/>
      <c r="K153" s="33"/>
      <c r="L153" s="33"/>
      <c r="M153" s="34">
        <f>'[1]General and Admin'!F220</f>
        <v>7500</v>
      </c>
      <c r="N153" s="7">
        <v>0</v>
      </c>
      <c r="O153" s="7">
        <f t="shared" si="15"/>
        <v>7500</v>
      </c>
    </row>
    <row r="154" spans="2:15" hidden="1" x14ac:dyDescent="0.45">
      <c r="B154" s="70" t="s">
        <v>123</v>
      </c>
      <c r="C154" s="32"/>
      <c r="E154" s="32"/>
      <c r="F154" s="33"/>
      <c r="G154" s="32"/>
      <c r="H154" s="33"/>
      <c r="I154" s="34"/>
      <c r="J154" s="33"/>
      <c r="K154" s="33"/>
      <c r="L154" s="33"/>
      <c r="M154" s="34"/>
      <c r="O154" s="7">
        <f t="shared" si="15"/>
        <v>0</v>
      </c>
    </row>
    <row r="155" spans="2:15" hidden="1" x14ac:dyDescent="0.45">
      <c r="B155" s="51" t="s">
        <v>124</v>
      </c>
      <c r="C155" s="32">
        <v>6000</v>
      </c>
      <c r="E155" s="32">
        <v>2341</v>
      </c>
      <c r="F155" s="33"/>
      <c r="G155" s="32">
        <v>3000</v>
      </c>
      <c r="H155" s="33"/>
      <c r="I155" s="34">
        <v>2013</v>
      </c>
      <c r="J155" s="33"/>
      <c r="K155" s="33"/>
      <c r="L155" s="33"/>
      <c r="M155" s="34">
        <f>'[1]General and Admin'!F234</f>
        <v>3000</v>
      </c>
      <c r="N155" s="7">
        <v>4000</v>
      </c>
      <c r="O155" s="7">
        <f t="shared" si="15"/>
        <v>7000</v>
      </c>
    </row>
    <row r="156" spans="2:15" hidden="1" x14ac:dyDescent="0.45">
      <c r="B156" s="70" t="s">
        <v>125</v>
      </c>
      <c r="C156" s="32"/>
      <c r="E156" s="32"/>
      <c r="F156" s="33"/>
      <c r="G156" s="32"/>
      <c r="H156" s="33"/>
      <c r="I156" s="34"/>
      <c r="J156" s="33"/>
      <c r="K156" s="33"/>
      <c r="L156" s="33"/>
      <c r="M156" s="34"/>
      <c r="O156" s="7">
        <f t="shared" si="15"/>
        <v>0</v>
      </c>
    </row>
    <row r="157" spans="2:15" hidden="1" x14ac:dyDescent="0.45">
      <c r="B157" s="71" t="s">
        <v>126</v>
      </c>
      <c r="C157" s="55"/>
      <c r="D157" s="56"/>
      <c r="E157" s="55"/>
      <c r="F157" s="57"/>
      <c r="G157" s="55"/>
      <c r="H157" s="57"/>
      <c r="I157" s="58"/>
      <c r="J157" s="57"/>
      <c r="K157" s="57"/>
      <c r="L157" s="57"/>
      <c r="M157" s="72"/>
      <c r="O157" s="7">
        <f t="shared" si="15"/>
        <v>0</v>
      </c>
    </row>
    <row r="158" spans="2:15" hidden="1" x14ac:dyDescent="0.45">
      <c r="B158" s="52"/>
      <c r="C158" s="33"/>
      <c r="E158" s="33"/>
      <c r="F158" s="33"/>
      <c r="G158" s="33"/>
      <c r="H158" s="33"/>
      <c r="I158" s="49"/>
      <c r="J158" s="33"/>
      <c r="K158" s="33"/>
      <c r="L158" s="33"/>
      <c r="M158" s="49"/>
      <c r="O158" s="7">
        <f t="shared" si="15"/>
        <v>0</v>
      </c>
    </row>
    <row r="159" spans="2:15" ht="29.25" thickBot="1" x14ac:dyDescent="0.5">
      <c r="B159" s="59" t="s">
        <v>127</v>
      </c>
      <c r="C159" s="73">
        <f>SUM(C134:C158)</f>
        <v>203762.77949333334</v>
      </c>
      <c r="E159" s="73">
        <f>SUM(E134:E158)</f>
        <v>240629.5</v>
      </c>
      <c r="F159" s="73">
        <f>SUM(F134:F158)</f>
        <v>0</v>
      </c>
      <c r="G159" s="73">
        <f>SUM(G134:G158)</f>
        <v>406509</v>
      </c>
      <c r="H159" s="73">
        <f>SUM(H134:H158)</f>
        <v>0</v>
      </c>
      <c r="I159" s="74">
        <f>SUM(I134:I155)</f>
        <v>273953</v>
      </c>
      <c r="J159" s="73" t="s">
        <v>61</v>
      </c>
      <c r="K159" s="73"/>
      <c r="L159" s="53"/>
      <c r="M159" s="49">
        <f>SUM(M134:M157)</f>
        <v>370981.42183999997</v>
      </c>
      <c r="N159" s="50">
        <v>210301.23527999999</v>
      </c>
      <c r="O159" s="50">
        <f t="shared" si="15"/>
        <v>581282.65711999999</v>
      </c>
    </row>
    <row r="160" spans="2:15" hidden="1" x14ac:dyDescent="0.45">
      <c r="B160" s="52"/>
      <c r="C160" s="32"/>
      <c r="E160" s="32"/>
      <c r="F160" s="33"/>
      <c r="G160" s="32"/>
      <c r="H160" s="33"/>
      <c r="I160" s="34"/>
      <c r="J160" s="33"/>
      <c r="K160" s="33"/>
      <c r="L160" s="33"/>
      <c r="M160" s="34"/>
      <c r="O160" s="7">
        <f t="shared" si="15"/>
        <v>0</v>
      </c>
    </row>
    <row r="161" spans="2:15" hidden="1" x14ac:dyDescent="0.45">
      <c r="B161" s="52"/>
      <c r="E161" s="32"/>
      <c r="F161" s="33"/>
      <c r="G161" s="32"/>
      <c r="H161" s="33"/>
      <c r="I161" s="34"/>
      <c r="J161" s="33"/>
      <c r="K161" s="33"/>
      <c r="L161" s="33"/>
      <c r="M161" s="34"/>
      <c r="O161" s="7">
        <f t="shared" si="15"/>
        <v>0</v>
      </c>
    </row>
    <row r="162" spans="2:15" hidden="1" x14ac:dyDescent="0.45">
      <c r="B162" s="51" t="s">
        <v>128</v>
      </c>
      <c r="C162" s="32"/>
      <c r="E162" s="32"/>
      <c r="F162" s="33"/>
      <c r="G162" s="32"/>
      <c r="H162" s="33"/>
      <c r="I162" s="34"/>
      <c r="J162" s="33"/>
      <c r="K162" s="33"/>
      <c r="L162" s="33"/>
      <c r="M162" s="34"/>
      <c r="O162" s="7">
        <f t="shared" si="15"/>
        <v>0</v>
      </c>
    </row>
    <row r="163" spans="2:15" hidden="1" x14ac:dyDescent="0.45">
      <c r="B163" s="51" t="s">
        <v>129</v>
      </c>
      <c r="C163" s="32">
        <v>30000</v>
      </c>
      <c r="E163" s="32">
        <v>30000</v>
      </c>
      <c r="F163" s="33"/>
      <c r="G163" s="32">
        <v>30000</v>
      </c>
      <c r="H163" s="33"/>
      <c r="I163" s="34">
        <f>30000</f>
        <v>30000</v>
      </c>
      <c r="J163" s="33"/>
      <c r="K163" s="33"/>
      <c r="L163" s="33"/>
      <c r="M163" s="34">
        <f>30000</f>
        <v>30000</v>
      </c>
      <c r="N163" s="7">
        <v>30000</v>
      </c>
      <c r="O163" s="7">
        <f t="shared" si="15"/>
        <v>60000</v>
      </c>
    </row>
    <row r="164" spans="2:15" ht="29.25" hidden="1" thickBot="1" x14ac:dyDescent="0.5">
      <c r="B164" s="52"/>
      <c r="C164" s="42"/>
      <c r="E164" s="42"/>
      <c r="F164" s="33"/>
      <c r="G164" s="42"/>
      <c r="H164" s="33"/>
      <c r="I164" s="43"/>
      <c r="J164" s="33"/>
      <c r="K164" s="33"/>
      <c r="L164" s="33"/>
      <c r="M164" s="39"/>
      <c r="N164" s="40"/>
      <c r="O164" s="40">
        <f t="shared" si="15"/>
        <v>0</v>
      </c>
    </row>
    <row r="165" spans="2:15" x14ac:dyDescent="0.45">
      <c r="B165" s="51" t="s">
        <v>130</v>
      </c>
      <c r="C165" s="32">
        <f>SUM(C163:C164)</f>
        <v>30000</v>
      </c>
      <c r="E165" s="32">
        <f>SUM(E163:E164)</f>
        <v>30000</v>
      </c>
      <c r="F165" s="32">
        <f t="shared" ref="F165:H165" si="16">SUM(F163:F164)</f>
        <v>0</v>
      </c>
      <c r="G165" s="32">
        <f>SUM(G163:G164)</f>
        <v>30000</v>
      </c>
      <c r="H165" s="32">
        <f t="shared" si="16"/>
        <v>0</v>
      </c>
      <c r="I165" s="34">
        <f>20000+2500</f>
        <v>22500</v>
      </c>
      <c r="J165" s="33" t="s">
        <v>61</v>
      </c>
      <c r="K165" s="33"/>
      <c r="L165" s="33"/>
      <c r="M165" s="34">
        <f>M163</f>
        <v>30000</v>
      </c>
      <c r="N165" s="7">
        <v>30000</v>
      </c>
      <c r="O165" s="7">
        <f t="shared" si="15"/>
        <v>60000</v>
      </c>
    </row>
    <row r="166" spans="2:15" hidden="1" x14ac:dyDescent="0.45">
      <c r="C166" s="32"/>
      <c r="E166" s="32"/>
      <c r="F166" s="33"/>
      <c r="G166" s="32"/>
      <c r="H166" s="33"/>
      <c r="I166" s="34"/>
      <c r="J166" s="33"/>
      <c r="K166" s="33"/>
      <c r="L166" s="33"/>
      <c r="M166" s="34"/>
      <c r="O166" s="7">
        <f t="shared" si="15"/>
        <v>0</v>
      </c>
    </row>
    <row r="167" spans="2:15" hidden="1" x14ac:dyDescent="0.45">
      <c r="E167" s="32"/>
      <c r="F167" s="33"/>
      <c r="G167" s="32"/>
      <c r="H167" s="33"/>
      <c r="I167" s="34"/>
      <c r="J167" s="33"/>
      <c r="K167" s="33"/>
      <c r="L167" s="33"/>
      <c r="M167" s="34"/>
      <c r="O167" s="7">
        <f t="shared" si="15"/>
        <v>0</v>
      </c>
    </row>
    <row r="168" spans="2:15" hidden="1" x14ac:dyDescent="0.45">
      <c r="B168" s="59" t="s">
        <v>131</v>
      </c>
      <c r="C168" s="32"/>
      <c r="E168" s="32"/>
      <c r="F168" s="33"/>
      <c r="G168" s="32"/>
      <c r="H168" s="33"/>
      <c r="I168" s="34"/>
      <c r="J168" s="33"/>
      <c r="K168" s="33"/>
      <c r="L168" s="33"/>
      <c r="M168" s="34"/>
      <c r="O168" s="7">
        <f t="shared" si="15"/>
        <v>0</v>
      </c>
    </row>
    <row r="169" spans="2:15" hidden="1" x14ac:dyDescent="0.45">
      <c r="B169" s="31" t="s">
        <v>132</v>
      </c>
      <c r="C169" s="35">
        <v>0</v>
      </c>
      <c r="D169" s="36"/>
      <c r="E169" s="66"/>
      <c r="F169" s="67"/>
      <c r="G169" s="66"/>
      <c r="H169" s="67"/>
      <c r="I169" s="66">
        <v>225</v>
      </c>
      <c r="J169" s="67"/>
      <c r="K169" s="67"/>
      <c r="L169" s="67"/>
      <c r="M169" s="66"/>
      <c r="O169" s="7">
        <f t="shared" si="15"/>
        <v>0</v>
      </c>
    </row>
    <row r="170" spans="2:15" hidden="1" x14ac:dyDescent="0.45">
      <c r="B170" s="31" t="s">
        <v>133</v>
      </c>
      <c r="C170" s="32">
        <v>53697.261290322582</v>
      </c>
      <c r="E170" s="32">
        <v>59867</v>
      </c>
      <c r="F170" s="33"/>
      <c r="G170" s="32">
        <v>79729</v>
      </c>
      <c r="H170" s="33"/>
      <c r="I170" s="75">
        <v>78385</v>
      </c>
      <c r="J170" s="33"/>
      <c r="K170" s="33"/>
      <c r="L170" s="33"/>
      <c r="M170" s="75">
        <f>M19+M17</f>
        <v>51782.949280000001</v>
      </c>
      <c r="N170" s="7">
        <v>18832.84</v>
      </c>
      <c r="O170" s="7">
        <f t="shared" si="15"/>
        <v>70615.789279999997</v>
      </c>
    </row>
    <row r="171" spans="2:15" hidden="1" x14ac:dyDescent="0.45">
      <c r="B171" s="31" t="s">
        <v>134</v>
      </c>
      <c r="C171" s="32">
        <v>117436.04870967742</v>
      </c>
      <c r="E171" s="32"/>
      <c r="F171" s="33"/>
      <c r="G171" s="32"/>
      <c r="H171" s="33"/>
      <c r="I171" s="75"/>
      <c r="J171" s="33"/>
      <c r="K171" s="33"/>
      <c r="L171" s="33"/>
      <c r="M171" s="75">
        <v>0</v>
      </c>
      <c r="N171" s="7">
        <v>0</v>
      </c>
      <c r="O171" s="7">
        <f t="shared" si="15"/>
        <v>0</v>
      </c>
    </row>
    <row r="172" spans="2:15" hidden="1" x14ac:dyDescent="0.45">
      <c r="B172" s="31" t="s">
        <v>135</v>
      </c>
      <c r="C172" s="32"/>
      <c r="E172" s="32">
        <v>99332</v>
      </c>
      <c r="F172" s="33"/>
      <c r="G172" s="32">
        <v>64100</v>
      </c>
      <c r="H172" s="33"/>
      <c r="I172" s="75">
        <f>19075+51079</f>
        <v>70154</v>
      </c>
      <c r="J172" s="33"/>
      <c r="K172" s="33"/>
      <c r="L172" s="33"/>
      <c r="M172" s="75">
        <f>'[1]SPED 14-15'!P43-M170</f>
        <v>63607.050719999999</v>
      </c>
      <c r="N172" s="7">
        <v>96557.16</v>
      </c>
      <c r="O172" s="7">
        <f t="shared" si="15"/>
        <v>160164.21072</v>
      </c>
    </row>
    <row r="173" spans="2:15" hidden="1" x14ac:dyDescent="0.45">
      <c r="B173" s="46" t="s">
        <v>136</v>
      </c>
      <c r="C173" s="32"/>
      <c r="E173" s="32">
        <v>21902</v>
      </c>
      <c r="F173" s="33"/>
      <c r="G173" s="32">
        <v>15200</v>
      </c>
      <c r="H173" s="33"/>
      <c r="I173" s="75">
        <v>28267</v>
      </c>
      <c r="J173" s="33"/>
      <c r="K173" s="33"/>
      <c r="L173" s="33"/>
      <c r="M173" s="75"/>
      <c r="O173" s="7">
        <f t="shared" si="15"/>
        <v>0</v>
      </c>
    </row>
    <row r="174" spans="2:15" hidden="1" x14ac:dyDescent="0.45">
      <c r="B174" s="46" t="s">
        <v>137</v>
      </c>
      <c r="C174" s="32"/>
      <c r="E174" s="32"/>
      <c r="F174" s="33"/>
      <c r="G174" s="32"/>
      <c r="H174" s="33"/>
      <c r="I174" s="75"/>
      <c r="J174" s="33"/>
      <c r="K174" s="33"/>
      <c r="L174" s="33"/>
      <c r="M174" s="75"/>
      <c r="O174" s="7">
        <f t="shared" si="15"/>
        <v>0</v>
      </c>
    </row>
    <row r="175" spans="2:15" hidden="1" x14ac:dyDescent="0.45">
      <c r="B175" s="31" t="s">
        <v>138</v>
      </c>
      <c r="C175" s="32">
        <v>285466.86144000001</v>
      </c>
      <c r="E175" s="32">
        <v>267581</v>
      </c>
      <c r="F175" s="33"/>
      <c r="G175" s="32">
        <v>225052</v>
      </c>
      <c r="H175" s="33"/>
      <c r="I175" s="75">
        <f>200958+18754.36</f>
        <v>219712.36</v>
      </c>
      <c r="J175" s="33"/>
      <c r="K175" s="33"/>
      <c r="L175" s="33"/>
      <c r="M175" s="75">
        <f>'[1]Food Service'!E36</f>
        <v>225000</v>
      </c>
      <c r="N175" s="7">
        <v>127000</v>
      </c>
      <c r="O175" s="7">
        <f t="shared" si="15"/>
        <v>352000</v>
      </c>
    </row>
    <row r="176" spans="2:15" hidden="1" x14ac:dyDescent="0.45">
      <c r="B176" s="31" t="s">
        <v>139</v>
      </c>
      <c r="C176" s="32">
        <v>3600</v>
      </c>
      <c r="E176" s="32">
        <v>2026</v>
      </c>
      <c r="F176" s="33"/>
      <c r="G176" s="32">
        <v>720</v>
      </c>
      <c r="H176" s="33"/>
      <c r="I176" s="75">
        <v>1396</v>
      </c>
      <c r="J176" s="33"/>
      <c r="K176" s="33"/>
      <c r="L176" s="33"/>
      <c r="M176" s="75">
        <f>'[1]Schl serv &amp; Marketing'!F46</f>
        <v>1800</v>
      </c>
      <c r="N176" s="7">
        <v>1800</v>
      </c>
      <c r="O176" s="7">
        <f t="shared" si="15"/>
        <v>3600</v>
      </c>
    </row>
    <row r="177" spans="2:15" hidden="1" x14ac:dyDescent="0.45">
      <c r="B177" s="31" t="s">
        <v>140</v>
      </c>
      <c r="C177" s="32">
        <v>7200</v>
      </c>
      <c r="E177" s="32"/>
      <c r="F177" s="33"/>
      <c r="G177" s="32"/>
      <c r="H177" s="33"/>
      <c r="I177" s="75">
        <v>2150</v>
      </c>
      <c r="J177" s="33"/>
      <c r="K177" s="33"/>
      <c r="L177" s="33"/>
      <c r="M177" s="75">
        <f>'[1]Schl serv &amp; Marketing'!F58</f>
        <v>3000</v>
      </c>
      <c r="N177" s="7">
        <v>9000</v>
      </c>
      <c r="O177" s="7">
        <f t="shared" si="15"/>
        <v>12000</v>
      </c>
    </row>
    <row r="178" spans="2:15" hidden="1" x14ac:dyDescent="0.45">
      <c r="B178" s="31" t="s">
        <v>141</v>
      </c>
      <c r="C178" s="32">
        <v>616</v>
      </c>
      <c r="E178" s="32">
        <v>1680</v>
      </c>
      <c r="F178" s="33"/>
      <c r="G178" s="32">
        <v>2460</v>
      </c>
      <c r="H178" s="33"/>
      <c r="I178" s="75">
        <v>1380</v>
      </c>
      <c r="J178" s="33"/>
      <c r="K178" s="33"/>
      <c r="L178" s="33"/>
      <c r="M178" s="75">
        <f>'[1]Schl serv &amp; Marketing'!F70</f>
        <v>2400</v>
      </c>
      <c r="N178" s="7">
        <v>2400</v>
      </c>
      <c r="O178" s="7">
        <f t="shared" si="15"/>
        <v>4800</v>
      </c>
    </row>
    <row r="179" spans="2:15" hidden="1" x14ac:dyDescent="0.45">
      <c r="B179" s="31" t="s">
        <v>142</v>
      </c>
      <c r="C179" s="32">
        <v>14400</v>
      </c>
      <c r="E179" s="32">
        <v>13086</v>
      </c>
      <c r="F179" s="33"/>
      <c r="G179" s="32">
        <v>14400</v>
      </c>
      <c r="H179" s="33"/>
      <c r="I179" s="75">
        <v>17166</v>
      </c>
      <c r="J179" s="33"/>
      <c r="K179" s="33"/>
      <c r="L179" s="33"/>
      <c r="M179" s="75">
        <f>'[1]Schl serv &amp; Marketing'!F82</f>
        <v>16800</v>
      </c>
      <c r="N179" s="7">
        <v>18000</v>
      </c>
      <c r="O179" s="7">
        <f t="shared" si="15"/>
        <v>34800</v>
      </c>
    </row>
    <row r="180" spans="2:15" hidden="1" x14ac:dyDescent="0.45">
      <c r="B180" s="31" t="s">
        <v>143</v>
      </c>
      <c r="C180" s="32">
        <v>4800</v>
      </c>
      <c r="E180" s="32">
        <v>9227</v>
      </c>
      <c r="F180" s="33"/>
      <c r="G180" s="32">
        <v>13000</v>
      </c>
      <c r="H180" s="33"/>
      <c r="I180" s="75">
        <v>6488</v>
      </c>
      <c r="J180" s="33"/>
      <c r="K180" s="33"/>
      <c r="L180" s="33"/>
      <c r="M180" s="75">
        <f>'[1]Schl serv &amp; Marketing'!F95</f>
        <v>7200</v>
      </c>
      <c r="N180" s="7">
        <v>7200</v>
      </c>
      <c r="O180" s="7">
        <f t="shared" si="15"/>
        <v>14400</v>
      </c>
    </row>
    <row r="181" spans="2:15" hidden="1" x14ac:dyDescent="0.45">
      <c r="B181" s="46" t="s">
        <v>144</v>
      </c>
      <c r="C181" s="32"/>
      <c r="E181" s="32"/>
      <c r="F181" s="33"/>
      <c r="G181" s="32"/>
      <c r="H181" s="33"/>
      <c r="I181" s="75"/>
      <c r="J181" s="33"/>
      <c r="K181" s="33"/>
      <c r="L181" s="33"/>
      <c r="M181" s="75"/>
      <c r="O181" s="7">
        <f t="shared" si="15"/>
        <v>0</v>
      </c>
    </row>
    <row r="182" spans="2:15" hidden="1" x14ac:dyDescent="0.45">
      <c r="B182" s="31" t="s">
        <v>145</v>
      </c>
      <c r="C182" s="32">
        <v>37000</v>
      </c>
      <c r="E182" s="32">
        <v>10725</v>
      </c>
      <c r="F182" s="33"/>
      <c r="G182" s="32">
        <v>24000</v>
      </c>
      <c r="H182" s="33"/>
      <c r="I182" s="75">
        <f>4510+80</f>
        <v>4590</v>
      </c>
      <c r="J182" s="33"/>
      <c r="K182" s="33"/>
      <c r="L182" s="33"/>
      <c r="M182" s="75">
        <f>'[1]Schl serv &amp; Marketing'!F107</f>
        <v>17000</v>
      </c>
      <c r="N182" s="7">
        <v>7200</v>
      </c>
      <c r="O182" s="7">
        <f t="shared" si="15"/>
        <v>24200</v>
      </c>
    </row>
    <row r="183" spans="2:15" hidden="1" x14ac:dyDescent="0.45">
      <c r="B183" s="31" t="s">
        <v>146</v>
      </c>
      <c r="C183" s="32">
        <v>3500</v>
      </c>
      <c r="E183" s="32">
        <v>8739</v>
      </c>
      <c r="F183" s="33"/>
      <c r="G183" s="32">
        <v>15648</v>
      </c>
      <c r="H183" s="33"/>
      <c r="I183" s="75">
        <v>9560</v>
      </c>
      <c r="J183" s="33"/>
      <c r="K183" s="33"/>
      <c r="L183" s="33"/>
      <c r="M183" s="75">
        <f>'[1]Schl serv &amp; Marketing'!F123</f>
        <v>15648</v>
      </c>
      <c r="N183" s="7">
        <v>3500</v>
      </c>
      <c r="O183" s="7">
        <f t="shared" si="15"/>
        <v>19148</v>
      </c>
    </row>
    <row r="184" spans="2:15" ht="29.25" hidden="1" thickBot="1" x14ac:dyDescent="0.5">
      <c r="C184" s="76"/>
      <c r="E184" s="76"/>
      <c r="F184" s="77"/>
      <c r="G184" s="76"/>
      <c r="H184" s="77"/>
      <c r="I184" s="78"/>
      <c r="J184" s="77"/>
      <c r="K184" s="77"/>
      <c r="L184" s="77"/>
      <c r="M184" s="79"/>
      <c r="N184" s="40"/>
      <c r="O184" s="40">
        <f t="shared" si="15"/>
        <v>0</v>
      </c>
    </row>
    <row r="185" spans="2:15" x14ac:dyDescent="0.45">
      <c r="B185" s="59" t="s">
        <v>147</v>
      </c>
      <c r="C185" s="80">
        <f>SUM(C170:C184)</f>
        <v>527716.17143999995</v>
      </c>
      <c r="E185" s="80">
        <f>SUM(E169:E184)</f>
        <v>494165</v>
      </c>
      <c r="F185" s="80">
        <f t="shared" ref="F185:H185" si="17">SUM(F170:F184)</f>
        <v>0</v>
      </c>
      <c r="G185" s="80">
        <f>SUM(G169:G184)</f>
        <v>454309</v>
      </c>
      <c r="H185" s="80">
        <f t="shared" si="17"/>
        <v>0</v>
      </c>
      <c r="I185" s="81">
        <f>SUM(I169:I183)</f>
        <v>439473.36</v>
      </c>
      <c r="J185" s="77" t="s">
        <v>61</v>
      </c>
      <c r="K185" s="77"/>
      <c r="L185" s="77"/>
      <c r="M185" s="81">
        <f>SUM(M170:M183)</f>
        <v>404238</v>
      </c>
      <c r="N185" s="7">
        <v>291490</v>
      </c>
      <c r="O185" s="7">
        <f t="shared" si="15"/>
        <v>695728</v>
      </c>
    </row>
    <row r="186" spans="2:15" x14ac:dyDescent="0.45">
      <c r="B186" s="31" t="s">
        <v>148</v>
      </c>
      <c r="C186" s="80">
        <v>67430.963475188953</v>
      </c>
      <c r="E186" s="80"/>
      <c r="F186" s="77"/>
      <c r="G186" s="80"/>
      <c r="H186" s="77"/>
      <c r="I186" s="81"/>
      <c r="J186" s="77"/>
      <c r="K186" s="77"/>
      <c r="L186" s="77"/>
      <c r="M186" s="82">
        <f>M46*P186</f>
        <v>0</v>
      </c>
      <c r="O186" s="7">
        <f t="shared" si="15"/>
        <v>0</v>
      </c>
    </row>
    <row r="187" spans="2:15" ht="29.25" thickBot="1" x14ac:dyDescent="0.5">
      <c r="C187" s="42"/>
      <c r="E187" s="42"/>
      <c r="F187" s="33"/>
      <c r="G187" s="42"/>
      <c r="H187" s="33"/>
      <c r="I187" s="43"/>
      <c r="J187" s="33"/>
      <c r="K187" s="33"/>
      <c r="L187" s="33"/>
      <c r="M187" s="39"/>
      <c r="N187" s="40"/>
      <c r="O187" s="40">
        <f t="shared" si="15"/>
        <v>0</v>
      </c>
    </row>
    <row r="188" spans="2:15" x14ac:dyDescent="0.45">
      <c r="C188" s="33"/>
      <c r="E188" s="33"/>
      <c r="F188" s="33"/>
      <c r="G188" s="33"/>
      <c r="H188" s="33"/>
      <c r="I188" s="49"/>
      <c r="J188" s="33"/>
      <c r="K188" s="33"/>
      <c r="L188" s="33"/>
      <c r="M188" s="49"/>
      <c r="N188" s="50"/>
      <c r="O188" s="50"/>
    </row>
    <row r="189" spans="2:15" ht="29.25" thickBot="1" x14ac:dyDescent="0.5">
      <c r="B189" s="51" t="s">
        <v>5</v>
      </c>
      <c r="C189" s="32">
        <f>C185+C165+C159+C130+C123+C117+C108+C99+C93+C75+C69+C186</f>
        <v>6645942.2502393257</v>
      </c>
      <c r="D189" s="52"/>
      <c r="E189" s="32">
        <f>E185+E165+E159+E130+E123+E117+E108+E99+E93+E75+E69</f>
        <v>7680842.5</v>
      </c>
      <c r="F189" s="32">
        <f>F185+F165+F159+F130+F123+F117+F108+F99+F93+F75+F69+F186</f>
        <v>0</v>
      </c>
      <c r="G189" s="32">
        <f>G185+G165+G159+G130+G123+G117+G108+G99+G93+G75+G69</f>
        <v>9353237</v>
      </c>
      <c r="H189" s="32">
        <f>H185+H165+H159+H130+H123+H117+H108+H99+H93+H75+H69+H186</f>
        <v>0</v>
      </c>
      <c r="I189" s="34">
        <f>I185+I165+I159+I130+I123+I117+I108+I99+I93+I75+I69+I186</f>
        <v>6228870.04</v>
      </c>
      <c r="J189" s="33"/>
      <c r="K189" s="33"/>
      <c r="L189" s="50">
        <f t="shared" ref="L189:N189" si="18">L69+L75+L93+L108+L117+L123+L130+L159+L165+L185</f>
        <v>0</v>
      </c>
      <c r="M189" s="54">
        <f t="shared" si="18"/>
        <v>8420303.855383601</v>
      </c>
      <c r="N189" s="54">
        <f t="shared" si="18"/>
        <v>5779684.7716959994</v>
      </c>
      <c r="O189" s="54">
        <f>O69+O75+O93+O108+O117+O123+O130+O159+O165+O185</f>
        <v>14199988.627079599</v>
      </c>
    </row>
    <row r="190" spans="2:15" x14ac:dyDescent="0.45">
      <c r="C190" s="32"/>
      <c r="E190" s="32"/>
      <c r="F190" s="33"/>
      <c r="G190" s="32"/>
      <c r="H190" s="33"/>
      <c r="I190" s="34"/>
      <c r="J190" s="33"/>
      <c r="K190" s="33"/>
      <c r="L190" s="33"/>
      <c r="M190" s="34"/>
    </row>
    <row r="191" spans="2:15" ht="29.25" thickBot="1" x14ac:dyDescent="0.5">
      <c r="B191" s="51" t="s">
        <v>6</v>
      </c>
      <c r="C191" s="83">
        <f>C46-C189-0.71</f>
        <v>97153.387279569128</v>
      </c>
      <c r="D191" s="52"/>
      <c r="E191" s="83">
        <f>E46-E189</f>
        <v>446181.25999999978</v>
      </c>
      <c r="F191" s="83">
        <f>F46-F189-0.71</f>
        <v>-0.71</v>
      </c>
      <c r="G191" s="83">
        <f>G46-G189</f>
        <v>220884</v>
      </c>
      <c r="H191" s="83">
        <f>H46-H189-0.71</f>
        <v>-0.71</v>
      </c>
      <c r="I191" s="84">
        <f>I46-I189</f>
        <v>818234.9299999997</v>
      </c>
      <c r="J191" s="33">
        <v>25822.502581298351</v>
      </c>
      <c r="K191" s="33"/>
      <c r="L191" s="33"/>
      <c r="M191" s="85">
        <f t="shared" ref="M191:N191" si="19">M46-M189</f>
        <v>227398.67789639905</v>
      </c>
      <c r="N191" s="85">
        <f t="shared" si="19"/>
        <v>35933.996304000728</v>
      </c>
      <c r="O191" s="85">
        <f>O46-O189</f>
        <v>263332.67420040071</v>
      </c>
    </row>
    <row r="192" spans="2:15" ht="29.25" thickTop="1" x14ac:dyDescent="0.45">
      <c r="B192" s="86"/>
      <c r="C192" s="32"/>
      <c r="D192" s="86"/>
      <c r="E192" s="32"/>
      <c r="F192" s="87"/>
      <c r="G192" s="32"/>
      <c r="H192" s="87"/>
      <c r="I192" s="34"/>
      <c r="J192" s="87"/>
      <c r="K192" s="87"/>
      <c r="L192" s="87"/>
      <c r="M192" s="34"/>
    </row>
    <row r="193" spans="3:13" x14ac:dyDescent="0.45">
      <c r="C193" s="32"/>
      <c r="E193" s="32"/>
      <c r="G193" s="32"/>
    </row>
    <row r="194" spans="3:13" x14ac:dyDescent="0.45">
      <c r="E194" s="32"/>
      <c r="F194" s="88"/>
      <c r="G194" s="32"/>
      <c r="H194" s="88"/>
      <c r="I194" s="89"/>
      <c r="J194" s="88"/>
      <c r="K194" s="88"/>
      <c r="L194" s="88"/>
      <c r="M194" s="89"/>
    </row>
    <row r="195" spans="3:13" x14ac:dyDescent="0.45">
      <c r="F195" s="88"/>
      <c r="H195" s="88"/>
      <c r="I195" s="89"/>
      <c r="J195" s="88"/>
      <c r="K195" s="88"/>
      <c r="L195" s="88"/>
      <c r="M195" s="34"/>
    </row>
    <row r="196" spans="3:13" x14ac:dyDescent="0.45">
      <c r="I196" s="89"/>
      <c r="M196" s="34"/>
    </row>
    <row r="197" spans="3:13" x14ac:dyDescent="0.45">
      <c r="M197" s="34"/>
    </row>
  </sheetData>
  <pageMargins left="0.7" right="0.7" top="0.75" bottom="0.75" header="0.3" footer="0.3"/>
  <pageSetup scale="46" orientation="portrait" r:id="rId1"/>
  <headerFooter>
    <oddHeader xml:space="preserve">&amp;C&amp;"-,Bold"&amp;36HOPE COMMUNITY CHARTER SCHOOL
ANNUAL BUDGET
2015/16 SY&amp;"-,Regular"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Khafi Knox-McDowell</dc:creator>
  <cp:lastModifiedBy>Linda Patton</cp:lastModifiedBy>
  <cp:lastPrinted>2015-06-16T04:30:39Z</cp:lastPrinted>
  <dcterms:created xsi:type="dcterms:W3CDTF">2015-06-15T21:15:30Z</dcterms:created>
  <dcterms:modified xsi:type="dcterms:W3CDTF">2015-06-16T12:48:36Z</dcterms:modified>
</cp:coreProperties>
</file>