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workbookProtection workbookPassword="E75E" lockStructure="1"/>
  <bookViews>
    <workbookView xWindow="0" yWindow="0" windowWidth="28800" windowHeight="16020" tabRatio="500"/>
  </bookViews>
  <sheets>
    <sheet name="DPCH DC Budget Detail" sheetId="45" r:id="rId1"/>
    <sheet name="DPCH DC Assumptions" sheetId="46" state="hidden" r:id="rId2"/>
    <sheet name=" DPCH DC Staffing  " sheetId="47" state="hidden" r:id="rId3"/>
  </sheets>
  <definedNames>
    <definedName name="_xlnm.Print_Area" localSheetId="1">'DPCH DC Assumptions'!$C$1:$E$270</definedName>
    <definedName name="_xlnm.Print_Area" localSheetId="0">'DPCH DC Budget Detail'!$A$1:$D$219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45" l="1"/>
  <c r="C37" i="45"/>
  <c r="C38" i="45"/>
  <c r="C39" i="45"/>
  <c r="C40" i="45"/>
  <c r="C41" i="45"/>
  <c r="C42" i="45"/>
  <c r="C43" i="45"/>
  <c r="C44" i="45"/>
  <c r="C45" i="45"/>
  <c r="C46" i="45"/>
  <c r="C47" i="45"/>
  <c r="C48" i="45"/>
  <c r="C149" i="45"/>
  <c r="D34" i="46"/>
  <c r="C69" i="45"/>
  <c r="C197" i="45"/>
  <c r="D56" i="46"/>
  <c r="D64" i="46"/>
  <c r="D87" i="46"/>
  <c r="D91" i="46"/>
  <c r="D92" i="46"/>
  <c r="D93" i="46"/>
  <c r="D94" i="46"/>
  <c r="D20" i="46"/>
  <c r="D95" i="46"/>
  <c r="C188" i="45"/>
  <c r="D55" i="46"/>
  <c r="D66" i="46"/>
  <c r="C123" i="45"/>
  <c r="D110" i="46"/>
  <c r="F84" i="47"/>
  <c r="F82" i="47"/>
  <c r="F81" i="47"/>
  <c r="C147" i="45"/>
  <c r="D161" i="46"/>
  <c r="C91" i="45"/>
  <c r="C129" i="45"/>
  <c r="C59" i="45"/>
  <c r="K82" i="47"/>
  <c r="K83" i="47"/>
  <c r="K84" i="47"/>
  <c r="K81" i="47"/>
  <c r="F92" i="47"/>
  <c r="D102" i="46"/>
  <c r="F86" i="47"/>
  <c r="D98" i="46"/>
  <c r="D100" i="46"/>
  <c r="D104" i="46"/>
  <c r="C101" i="45"/>
  <c r="C86" i="45"/>
  <c r="C85" i="45"/>
  <c r="C84" i="45"/>
  <c r="C87" i="45"/>
  <c r="C95" i="45"/>
  <c r="D119" i="46"/>
  <c r="C97" i="45"/>
  <c r="C90" i="45"/>
  <c r="C92" i="45"/>
  <c r="C93" i="45"/>
  <c r="C96" i="45"/>
  <c r="C98" i="45"/>
  <c r="C108" i="45"/>
  <c r="C102" i="45"/>
  <c r="C103" i="45"/>
  <c r="C104" i="45"/>
  <c r="C106" i="45"/>
  <c r="C107" i="45"/>
  <c r="C109" i="45"/>
  <c r="C111" i="45"/>
  <c r="C112" i="45"/>
  <c r="C113" i="45"/>
  <c r="C114" i="45"/>
  <c r="C115" i="45"/>
  <c r="C116" i="45"/>
  <c r="C154" i="45"/>
  <c r="C155" i="45"/>
  <c r="C156" i="45"/>
  <c r="C157" i="45"/>
  <c r="C159" i="45"/>
  <c r="C160" i="45"/>
  <c r="D21" i="46"/>
  <c r="C51" i="45"/>
  <c r="C54" i="45"/>
  <c r="C148" i="45"/>
  <c r="D74" i="46"/>
  <c r="C196" i="45"/>
  <c r="C198" i="45"/>
  <c r="C199" i="45"/>
  <c r="C200" i="45"/>
  <c r="C201" i="45"/>
  <c r="C185" i="45"/>
  <c r="C204" i="45"/>
  <c r="D236" i="46"/>
  <c r="C205" i="45"/>
  <c r="C206" i="45"/>
  <c r="D238" i="46"/>
  <c r="D73" i="46"/>
  <c r="C207" i="45"/>
  <c r="C208" i="45"/>
  <c r="C190" i="45"/>
  <c r="C189" i="45"/>
  <c r="C133" i="45"/>
  <c r="C132" i="45"/>
  <c r="C53" i="45"/>
  <c r="C52" i="45"/>
  <c r="C60" i="45"/>
  <c r="C63" i="45"/>
  <c r="C64" i="45"/>
  <c r="C65" i="45"/>
  <c r="D35" i="46"/>
  <c r="C66" i="45"/>
  <c r="C67" i="45"/>
  <c r="C71" i="45"/>
  <c r="C72" i="45"/>
  <c r="C75" i="45"/>
  <c r="C77" i="45"/>
  <c r="C79" i="45"/>
  <c r="C8" i="45"/>
  <c r="C210" i="45"/>
  <c r="D157" i="46"/>
  <c r="C127" i="45"/>
  <c r="C128" i="45"/>
  <c r="C119" i="45"/>
  <c r="C120" i="45"/>
  <c r="C121" i="45"/>
  <c r="C122" i="45"/>
  <c r="C124" i="45"/>
  <c r="C125" i="45"/>
  <c r="C126" i="45"/>
  <c r="C130" i="45"/>
  <c r="C131" i="45"/>
  <c r="D165" i="46"/>
  <c r="C134" i="45"/>
  <c r="C135" i="45"/>
  <c r="C136" i="45"/>
  <c r="C141" i="45"/>
  <c r="C139" i="45"/>
  <c r="D170" i="46"/>
  <c r="C140" i="45"/>
  <c r="C144" i="45"/>
  <c r="C145" i="45"/>
  <c r="D179" i="46"/>
  <c r="C146" i="45"/>
  <c r="D178" i="46"/>
  <c r="C150" i="45"/>
  <c r="C151" i="45"/>
  <c r="D247" i="46"/>
  <c r="D248" i="46"/>
  <c r="D251" i="46"/>
  <c r="D252" i="46"/>
  <c r="D242" i="46"/>
  <c r="C212" i="45"/>
  <c r="C163" i="45"/>
  <c r="C164" i="45"/>
  <c r="C165" i="45"/>
  <c r="C167" i="45"/>
  <c r="C170" i="45"/>
  <c r="C171" i="45"/>
  <c r="C172" i="45"/>
  <c r="C175" i="45"/>
  <c r="C176" i="45"/>
  <c r="C177" i="45"/>
  <c r="C178" i="45"/>
  <c r="C179" i="45"/>
  <c r="C180" i="45"/>
  <c r="C181" i="45"/>
  <c r="D207" i="46"/>
  <c r="C182" i="45"/>
  <c r="C183" i="45"/>
  <c r="C184" i="45"/>
  <c r="C186" i="45"/>
  <c r="D220" i="46"/>
  <c r="C187" i="45"/>
  <c r="C191" i="45"/>
  <c r="C192" i="45"/>
  <c r="C193" i="45"/>
  <c r="C214" i="45"/>
  <c r="C217" i="45"/>
  <c r="G94" i="46"/>
  <c r="E64" i="46"/>
  <c r="E66" i="46"/>
  <c r="C7" i="45"/>
  <c r="C6" i="45"/>
  <c r="C9" i="45"/>
  <c r="C10" i="45"/>
  <c r="C13" i="45"/>
  <c r="C14" i="45"/>
  <c r="C15" i="45"/>
  <c r="C16" i="45"/>
  <c r="C17" i="45"/>
  <c r="C18" i="45"/>
  <c r="C19" i="45"/>
  <c r="C20" i="45"/>
  <c r="C25" i="45"/>
  <c r="C26" i="45"/>
  <c r="C27" i="45"/>
  <c r="C24" i="45"/>
  <c r="C21" i="45"/>
  <c r="C22" i="45"/>
  <c r="C23" i="45"/>
  <c r="C28" i="45"/>
  <c r="C30" i="45"/>
  <c r="F93" i="47"/>
  <c r="F90" i="47"/>
  <c r="F89" i="47"/>
  <c r="F87" i="47"/>
  <c r="F83" i="47"/>
  <c r="G95" i="47"/>
  <c r="F95" i="47"/>
  <c r="D127" i="46"/>
  <c r="D103" i="46"/>
  <c r="D101" i="46"/>
  <c r="D99" i="46"/>
  <c r="E94" i="46"/>
  <c r="D88" i="46"/>
  <c r="D89" i="46"/>
  <c r="E81" i="46"/>
  <c r="D78" i="46"/>
  <c r="D76" i="46"/>
  <c r="D72" i="46"/>
  <c r="B64" i="46"/>
  <c r="B25" i="45"/>
  <c r="B24" i="45"/>
  <c r="B23" i="45"/>
  <c r="B22" i="45"/>
  <c r="B21" i="45"/>
  <c r="B20" i="45"/>
  <c r="B19" i="45"/>
  <c r="B18" i="45"/>
  <c r="B17" i="45"/>
  <c r="B16" i="45"/>
  <c r="B15" i="45"/>
  <c r="B14" i="45"/>
  <c r="B13" i="45"/>
</calcChain>
</file>

<file path=xl/sharedStrings.xml><?xml version="1.0" encoding="utf-8"?>
<sst xmlns="http://schemas.openxmlformats.org/spreadsheetml/2006/main" count="636" uniqueCount="461">
  <si>
    <t>Income</t>
  </si>
  <si>
    <t>Expenses</t>
  </si>
  <si>
    <t>Total Expenses</t>
  </si>
  <si>
    <t>Net Income</t>
  </si>
  <si>
    <t>FY 15</t>
  </si>
  <si>
    <t>Title I</t>
  </si>
  <si>
    <t>Title IIA</t>
  </si>
  <si>
    <t>K</t>
  </si>
  <si>
    <t>Non-Instructional</t>
  </si>
  <si>
    <t>Operations Manager</t>
  </si>
  <si>
    <t>Receptionist</t>
  </si>
  <si>
    <t>Registrar</t>
  </si>
  <si>
    <t>Social Worker</t>
  </si>
  <si>
    <t>Elective</t>
  </si>
  <si>
    <t>Position</t>
  </si>
  <si>
    <t>Number of Non-Instructional</t>
  </si>
  <si>
    <t>Custodian</t>
  </si>
  <si>
    <t>Number of Instructional Leaders</t>
  </si>
  <si>
    <t>Avg Salary Instructional Leaders</t>
  </si>
  <si>
    <t>Lead Teacher</t>
  </si>
  <si>
    <t>DREAM Coach</t>
  </si>
  <si>
    <t>Co-Teacher</t>
  </si>
  <si>
    <t>Co Teacher</t>
  </si>
  <si>
    <t>ACT Manager</t>
  </si>
  <si>
    <t>All Staff</t>
  </si>
  <si>
    <t>Total Dream team</t>
  </si>
  <si>
    <r>
      <t xml:space="preserve">Assumption Number/Input - </t>
    </r>
    <r>
      <rPr>
        <sz val="8"/>
        <color rgb="FF0070C0"/>
        <rFont val="Arial"/>
        <family val="2"/>
      </rPr>
      <t>Blue</t>
    </r>
  </si>
  <si>
    <t>Calculation/No Input - Black</t>
  </si>
  <si>
    <t>General Revenue and Expense Assumptions</t>
  </si>
  <si>
    <t>Special Education IDEA Federal Funding</t>
  </si>
  <si>
    <t>Federal Title I</t>
  </si>
  <si>
    <t>% Increase Per Pupil Revenue</t>
  </si>
  <si>
    <t>% Increase Local Special Education Aid</t>
  </si>
  <si>
    <t>% Increase Federal Special Education Aid</t>
  </si>
  <si>
    <t xml:space="preserve">% Increase Title 1 Funding </t>
  </si>
  <si>
    <t>Walton Family foundation Start-up funds</t>
  </si>
  <si>
    <t>Robin Hood</t>
  </si>
  <si>
    <t>Other Foundation Support</t>
  </si>
  <si>
    <t>Corporate Support</t>
  </si>
  <si>
    <t>Fundraiser Revenues</t>
  </si>
  <si>
    <t>Competitive Public Grants (state &amp; federal)</t>
  </si>
  <si>
    <t>E-Rate</t>
  </si>
  <si>
    <t>Interest Rate</t>
  </si>
  <si>
    <t>Pro-Bono Services</t>
  </si>
  <si>
    <t>Inflation Factor</t>
  </si>
  <si>
    <t>Number of Grades Served</t>
  </si>
  <si>
    <t>% of Students Free/Reduced Lunch</t>
  </si>
  <si>
    <t>Number of New Students</t>
  </si>
  <si>
    <t>% Increase in Total Student Population</t>
  </si>
  <si>
    <t>Staff Summary</t>
  </si>
  <si>
    <t>Total DREAM Team Size</t>
  </si>
  <si>
    <t>Compensation:Program Incentives for FT Staff</t>
  </si>
  <si>
    <t>Staff Additional Time With Students outside 730AM - 5PM</t>
  </si>
  <si>
    <t>Per month, increases based on # of add'l students</t>
  </si>
  <si>
    <t>Athletic Stipends</t>
  </si>
  <si>
    <t>Annual</t>
  </si>
  <si>
    <t>Enrichment Stipends</t>
  </si>
  <si>
    <t>Allocated Portion of Shared Staff</t>
  </si>
  <si>
    <t>DREAM Day Buy-back</t>
  </si>
  <si>
    <t># of avg days in Dream Days for staff</t>
  </si>
  <si>
    <t>Summer Opportunity School Stipends</t>
  </si>
  <si>
    <t># of staff participating in Summer School</t>
  </si>
  <si>
    <t>Fringe Benefits</t>
  </si>
  <si>
    <t>FUTA</t>
  </si>
  <si>
    <t>State Unemployment Insurance (SUI)</t>
  </si>
  <si>
    <t>Social Security - EmployER Expense</t>
  </si>
  <si>
    <t>Medicare Insurance - EmployER Expense</t>
  </si>
  <si>
    <t>Worker's Compensation Insurance</t>
  </si>
  <si>
    <t>State Disability Insurance</t>
  </si>
  <si>
    <t>Medical Insurance - monthly, Individual</t>
  </si>
  <si>
    <t>Medical Insurance - monthly, family</t>
  </si>
  <si>
    <t>Dental Insurance - monthly, individual</t>
  </si>
  <si>
    <t>Dental Insurance - monthly, family</t>
  </si>
  <si>
    <t>% of Staff with individual coverage</t>
  </si>
  <si>
    <t>% of Staff with family coverage</t>
  </si>
  <si>
    <t>Medical &amp; Dental Insurance Buyout Incentive - Participation %</t>
  </si>
  <si>
    <t>% of Staff Participating in 403b Plan (net staff attrition)</t>
  </si>
  <si>
    <t>Retirement 403(B) Fees</t>
  </si>
  <si>
    <t>Annual Cost</t>
  </si>
  <si>
    <t>Retirement 403(B) School Match</t>
  </si>
  <si>
    <t>Average MetroCard Purchase</t>
  </si>
  <si>
    <t>Per Staff Member</t>
  </si>
  <si>
    <t>Life Insurance/AD&amp;D</t>
  </si>
  <si>
    <t>Short and Long Term Supplemental Disability Insurance</t>
  </si>
  <si>
    <t>Flexible Spending Plan EmployER Contribution</t>
  </si>
  <si>
    <t>General &amp; Administrative</t>
  </si>
  <si>
    <t>Business Personal Property Insurance</t>
  </si>
  <si>
    <t>Directors &amp; Officers Liability Insurance</t>
  </si>
  <si>
    <t>General Liability Insurance</t>
  </si>
  <si>
    <t>Per Student</t>
  </si>
  <si>
    <t>Commerical Umbrella Insurance</t>
  </si>
  <si>
    <t>Student Accident Insurance</t>
  </si>
  <si>
    <t>Bank Service Charges and Fees</t>
  </si>
  <si>
    <t>Fees, Dues, Licensing, Subscriptions</t>
  </si>
  <si>
    <t>Staff Dinners, Outings, Recognition</t>
  </si>
  <si>
    <t>School Uniform Support</t>
  </si>
  <si>
    <t>Postage and Shipping</t>
  </si>
  <si>
    <t>Executive Office Supplies including Copy Paper</t>
  </si>
  <si>
    <t>Administrative Printing &amp; Copying Supplies and Equipment</t>
  </si>
  <si>
    <t>Administrative Consumables</t>
  </si>
  <si>
    <t>Professional Services</t>
  </si>
  <si>
    <t>Accounting/Audit Services</t>
  </si>
  <si>
    <t>Payroll Services</t>
  </si>
  <si>
    <t>Legal Services - Paid</t>
  </si>
  <si>
    <t>Legal Services - In-Kind</t>
  </si>
  <si>
    <t>Pro-Bono Professional Services</t>
  </si>
  <si>
    <t>Democracy Builders - Membership Fee</t>
  </si>
  <si>
    <t>Democracy Prep Public Schools Annual Fee</t>
  </si>
  <si>
    <t>Professional Development</t>
  </si>
  <si>
    <t>Individual Professional Development</t>
  </si>
  <si>
    <t>Schoolwide Professional Development</t>
  </si>
  <si>
    <t>Tuition and Certification Reimbursement</t>
  </si>
  <si>
    <t>Professional Development Consumables</t>
  </si>
  <si>
    <t>Board Expenses &amp; Strategic Planning</t>
  </si>
  <si>
    <t>Recruiting/Marketing</t>
  </si>
  <si>
    <t>Staff Recruiting</t>
  </si>
  <si>
    <t>Student Recruiting</t>
  </si>
  <si>
    <t>External Recruitment Incentives</t>
  </si>
  <si>
    <t>Marketing Costs</t>
  </si>
  <si>
    <t>Fundraising Expenses</t>
  </si>
  <si>
    <t>Development, Website, Communications</t>
  </si>
  <si>
    <t>Fundraising Event Costs</t>
  </si>
  <si>
    <t>Direct Instructional Expenses</t>
  </si>
  <si>
    <t>Core Textbooks &amp; Other Curricula</t>
  </si>
  <si>
    <t>Art Program Materials</t>
  </si>
  <si>
    <t>Athletic Program Materials, Fees &amp; Uniforms</t>
  </si>
  <si>
    <t>Debate Costs and Fees</t>
  </si>
  <si>
    <t>Library Books</t>
  </si>
  <si>
    <t>Classroom Material &amp; Supplies</t>
  </si>
  <si>
    <t>Student Supplies</t>
  </si>
  <si>
    <t>Special Assemblies</t>
  </si>
  <si>
    <t>Student Recognition/Incentives</t>
  </si>
  <si>
    <t>DREAM Dollar Scholarship Fund</t>
  </si>
  <si>
    <t>Instructional Copy Paper and Supplies for Curricula</t>
  </si>
  <si>
    <t>Instructional Copier Lease</t>
  </si>
  <si>
    <t>Family Leadership Events &amp; Support</t>
  </si>
  <si>
    <t>After-School Consultants (non-employees)</t>
  </si>
  <si>
    <t>Building &amp; Facilities Expenses (Non-Capital)</t>
  </si>
  <si>
    <t>Rent</t>
  </si>
  <si>
    <t>Utilities</t>
  </si>
  <si>
    <t>Other Bldg Costs (Security, Fire, Elevator, etc)</t>
  </si>
  <si>
    <t>Building and Maintenance Supplies</t>
  </si>
  <si>
    <t>Technology/Communication Expenses</t>
  </si>
  <si>
    <t>Telephone &amp; Telecommunications</t>
  </si>
  <si>
    <t>per staff member per month, pre e-rate</t>
  </si>
  <si>
    <t>Outside Computer &amp; Network Services - (Non E-Rate)</t>
  </si>
  <si>
    <t>E-Rate Expenses</t>
  </si>
  <si>
    <t>Classroom Technology Expenses (non-capital)</t>
  </si>
  <si>
    <t>Contingency Expense</t>
  </si>
  <si>
    <t>Depreciation</t>
  </si>
  <si>
    <t>Capital Budget</t>
  </si>
  <si>
    <t>Laptops</t>
  </si>
  <si>
    <t>Other Classroom Technology (non e-rate)</t>
  </si>
  <si>
    <t>Servers and Related (E-Rate Eligible)</t>
  </si>
  <si>
    <t>Student Information System (SIS) one-time costs</t>
  </si>
  <si>
    <t>Furniture</t>
  </si>
  <si>
    <t>Revenue</t>
  </si>
  <si>
    <t>Total State Revenue</t>
  </si>
  <si>
    <t>Total Federal Revenue</t>
  </si>
  <si>
    <t>Total Development Revenue</t>
  </si>
  <si>
    <t>Total Miscellaneous Revenue</t>
  </si>
  <si>
    <t>Total Revenue</t>
  </si>
  <si>
    <t>REVENUE</t>
  </si>
  <si>
    <t>State Grants</t>
  </si>
  <si>
    <t>Federal Grants</t>
  </si>
  <si>
    <t>IDEA for Special Education Funding</t>
  </si>
  <si>
    <t>E-Rate for Tech/Comm</t>
  </si>
  <si>
    <t>Development</t>
  </si>
  <si>
    <t>Individual Unrestricted Contributions</t>
  </si>
  <si>
    <t>Foundation Grants</t>
  </si>
  <si>
    <t>Grant from DPPS (earmarked funds)</t>
  </si>
  <si>
    <t>Memorial Funds</t>
  </si>
  <si>
    <t>Fundraising Event Revenues</t>
  </si>
  <si>
    <t>Miscellaneous Income</t>
  </si>
  <si>
    <t>Interest Income</t>
  </si>
  <si>
    <t>Total Miscellaneous Income</t>
  </si>
  <si>
    <t>TOTAL REVENUE</t>
  </si>
  <si>
    <t>EXPENSES</t>
  </si>
  <si>
    <t>Compensation: Instructional Leaders</t>
  </si>
  <si>
    <t>Compensation: Instructional Staff</t>
  </si>
  <si>
    <t>Total Salaried Personnel Expense</t>
  </si>
  <si>
    <t>Pre-Opening Allocated Expenses</t>
  </si>
  <si>
    <t>Total Program Incentives for FT Staff</t>
  </si>
  <si>
    <t>Medical Insurance</t>
  </si>
  <si>
    <t>Dental Insurance</t>
  </si>
  <si>
    <t>Vision Insurance</t>
  </si>
  <si>
    <t>Medical &amp; Dental Insurance Buyout Incentive</t>
  </si>
  <si>
    <t>Total Fringe Benefits</t>
  </si>
  <si>
    <t>Catastrophic Student Accident Insurance</t>
  </si>
  <si>
    <t>Total General &amp; Administrative</t>
  </si>
  <si>
    <t>Total Professional Services</t>
  </si>
  <si>
    <t>Total Professional Development</t>
  </si>
  <si>
    <t>Total Recruiting/Marketing</t>
  </si>
  <si>
    <t>Total Fundraising Expenses</t>
  </si>
  <si>
    <t>Field Trips (Saturday, Classroom &amp; End of Year)</t>
  </si>
  <si>
    <t>After-School Consultants</t>
  </si>
  <si>
    <t>Total Direct Instructional Expenses</t>
  </si>
  <si>
    <t>Total Building &amp; Facilities Expenses</t>
  </si>
  <si>
    <t>Total Technology/Communication Expenses</t>
  </si>
  <si>
    <t>TOTAL EXPENSES</t>
  </si>
  <si>
    <t>NET INCOME</t>
  </si>
  <si>
    <t>Compensation</t>
  </si>
  <si>
    <t>Per student</t>
  </si>
  <si>
    <t>Field Trips (Saturday, Classroom &amp; End of Year) - 6</t>
  </si>
  <si>
    <t>Per Pupil Operating Revenue Pre-K3</t>
  </si>
  <si>
    <t>Per Pupil Operating Revenue Pre-K4</t>
  </si>
  <si>
    <t>Per Pupil Operating Revenue K</t>
  </si>
  <si>
    <t>Per Pupil Operating Revenue 1-5</t>
  </si>
  <si>
    <t>Per Pupil Operating Revenue 6</t>
  </si>
  <si>
    <t>Per Pupil Allocations for Special Education K-6</t>
  </si>
  <si>
    <t>Special Education Capacity</t>
  </si>
  <si>
    <t>Summer School</t>
  </si>
  <si>
    <t>No summer program this year</t>
  </si>
  <si>
    <t>Per Pupil allocations for ELL</t>
  </si>
  <si>
    <t>Blackman Jones Compliance</t>
  </si>
  <si>
    <t>Facilities Grant</t>
  </si>
  <si>
    <t>Title I - ARRA</t>
  </si>
  <si>
    <t>Title IID</t>
  </si>
  <si>
    <t>Title IV</t>
  </si>
  <si>
    <t>Temporarily Restricted Contributions</t>
  </si>
  <si>
    <t>Permanently Restricted Contributions</t>
  </si>
  <si>
    <t>In-Kind Legal Support</t>
  </si>
  <si>
    <t>In-Kind Services</t>
  </si>
  <si>
    <t>Compensation: Non-Instructional Personnel</t>
  </si>
  <si>
    <t>Leadership Stipend (Grade Level leaders, Civics, Literacy, Other)</t>
  </si>
  <si>
    <t>Staff Recruitment Referral &amp; Signing Bonuses</t>
  </si>
  <si>
    <t>Staff Transportation including cabs after 9PM</t>
  </si>
  <si>
    <t>Student Food Program</t>
  </si>
  <si>
    <t>Adminstrative Travel</t>
  </si>
  <si>
    <t>Finance Consultants</t>
  </si>
  <si>
    <t>Temporary Admin Consultants</t>
  </si>
  <si>
    <t>Black Jones Compliance</t>
  </si>
  <si>
    <t>Democracy Builders - Fee</t>
  </si>
  <si>
    <t>Temporary Instructional Consultants</t>
  </si>
  <si>
    <t>Theatre Materials and Production Costs</t>
  </si>
  <si>
    <t>Student Information System Support, Traning and Subscriptions</t>
  </si>
  <si>
    <t>Assessment Software and Resources</t>
  </si>
  <si>
    <t>Nighttime Cleaning Crew</t>
  </si>
  <si>
    <t>Classroom Technology Expenses</t>
  </si>
  <si>
    <t>Total Furniture, Fixtures &amp; Equipment</t>
  </si>
  <si>
    <t>Notes/Comments</t>
  </si>
  <si>
    <t>Per Pupil Allocation grade Pre-K 3</t>
  </si>
  <si>
    <t>Per Pupil Allocation grade Pre-K 4</t>
  </si>
  <si>
    <t>Per Pupil Allocation grade K</t>
  </si>
  <si>
    <t>Per Pupil Allocation grades 1-5</t>
  </si>
  <si>
    <t>Per Pupil Allocation grades 6-8</t>
  </si>
  <si>
    <t>Special Education Level 1</t>
  </si>
  <si>
    <t xml:space="preserve">Special Education Level 2 </t>
  </si>
  <si>
    <t>Special Education Level 3</t>
  </si>
  <si>
    <t>Special Education Level 4</t>
  </si>
  <si>
    <t xml:space="preserve">ELL </t>
  </si>
  <si>
    <t>Facilities Allocation</t>
  </si>
  <si>
    <t>Scholar Summary</t>
  </si>
  <si>
    <t xml:space="preserve">Grades Pre-K </t>
  </si>
  <si>
    <t>Pre-K 3</t>
  </si>
  <si>
    <t>Pre-K 4</t>
  </si>
  <si>
    <t>Total Pre-K</t>
  </si>
  <si>
    <t>First</t>
  </si>
  <si>
    <t xml:space="preserve">Second </t>
  </si>
  <si>
    <t>Third</t>
  </si>
  <si>
    <t>Fourth</t>
  </si>
  <si>
    <t>Fifth</t>
  </si>
  <si>
    <t>Sixth</t>
  </si>
  <si>
    <t>Total School</t>
  </si>
  <si>
    <t>Total DC</t>
  </si>
  <si>
    <t>ES Attrition Rate</t>
  </si>
  <si>
    <t>ES Replacement Rate</t>
  </si>
  <si>
    <t>Avg Elem School Class Size</t>
  </si>
  <si>
    <t># of Elem School Classes</t>
  </si>
  <si>
    <t>School Enrollment</t>
  </si>
  <si>
    <t>Avg High School Class Size</t>
  </si>
  <si>
    <t># of High School Classes</t>
  </si>
  <si>
    <t>High School Enrollment</t>
  </si>
  <si>
    <t>Tie out at 11% - number from Imagine RFP</t>
  </si>
  <si>
    <t>% of Students Level 1</t>
  </si>
  <si>
    <t xml:space="preserve">Sum of 4 level percents </t>
  </si>
  <si>
    <t>% of Students Level 2</t>
  </si>
  <si>
    <t>% of Students Level 3</t>
  </si>
  <si>
    <t>% of Students Level 4</t>
  </si>
  <si>
    <t>% of Students ELL</t>
  </si>
  <si>
    <t>No Imagine assumption - used DC application number</t>
  </si>
  <si>
    <t>Total DC Elem Student Enrollment (excluding Pre-k)</t>
  </si>
  <si>
    <t>% Increase in Elementary Student Population</t>
  </si>
  <si>
    <t>Number of Special Ed Students Level 1</t>
  </si>
  <si>
    <t>Number of Special Ed Students Level 2</t>
  </si>
  <si>
    <t>Number of Special Ed Students Level 3</t>
  </si>
  <si>
    <t>Number of Special Ed Students Level 4</t>
  </si>
  <si>
    <t>Number of Students ELL</t>
  </si>
  <si>
    <t>Number of Core Teachers</t>
  </si>
  <si>
    <t>Avg Salary Core Teachers</t>
  </si>
  <si>
    <t>Number of Instructional Leader</t>
  </si>
  <si>
    <t>Number of Non-Instructional Personnel</t>
  </si>
  <si>
    <t>Avg Salary Non-Instructional Personnel</t>
  </si>
  <si>
    <t>% Increase in DREAMTeam Size</t>
  </si>
  <si>
    <t>per day</t>
  </si>
  <si>
    <t>Recruitment Referral, Signing, Relocation Bonuses</t>
  </si>
  <si>
    <t># of staff Receiving Bonus</t>
  </si>
  <si>
    <t>% of Staff with Vision only Insurance</t>
  </si>
  <si>
    <t>% of Salary</t>
  </si>
  <si>
    <t>Metropolitan Commuter Transportation Mobility Tax (MCTMT)</t>
  </si>
  <si>
    <t>150 per teacher</t>
  </si>
  <si>
    <t>Per staff member</t>
  </si>
  <si>
    <t>Admin Office Supplies including Copy Paper</t>
  </si>
  <si>
    <t>Admin Printing &amp; Copying Supplies and Equipment</t>
  </si>
  <si>
    <t>Includes 10000 for ED team</t>
  </si>
  <si>
    <t>Per employee, per month, includes HR Portal service</t>
  </si>
  <si>
    <t>AppleTree Pre-K Provider</t>
  </si>
  <si>
    <t>Field Trips (Saturday, Classroom &amp; End of Year) - K</t>
  </si>
  <si>
    <t>Field Trips (Saturday, Classroom &amp; End of Year) - 1</t>
  </si>
  <si>
    <t>Field Trips (Saturday, Classroom &amp; End of Year) - 2</t>
  </si>
  <si>
    <t>Field Trips (Saturday, Classroom &amp; End of Year) - 3</t>
  </si>
  <si>
    <t>Field Trips (Saturday, Classroom &amp; End of Year) - 4</t>
  </si>
  <si>
    <t>Field Trips (Saturday, Classroom &amp; End of Year) - 5</t>
  </si>
  <si>
    <t>Per Grade</t>
  </si>
  <si>
    <t>DREAM Dollar( Scholarship) Fund</t>
  </si>
  <si>
    <t>Per Month</t>
  </si>
  <si>
    <t>Rent per year FY 15</t>
  </si>
  <si>
    <t>FY 11 was 98,121 assume 10% increase over the 2 years</t>
  </si>
  <si>
    <t>Per classroom</t>
  </si>
  <si>
    <t>????</t>
  </si>
  <si>
    <t>ADMINISTRATION FEE</t>
  </si>
  <si>
    <t>FEE PAID TO PCSB - FEE IS A % OF</t>
  </si>
  <si>
    <t>Tech &amp; Ops Associate</t>
  </si>
  <si>
    <t>Executive Director</t>
  </si>
  <si>
    <t>Finance HR Staff</t>
  </si>
  <si>
    <t>Talent Team</t>
  </si>
  <si>
    <t>Upper - Academy Director</t>
  </si>
  <si>
    <t>Lower - Academy Director</t>
  </si>
  <si>
    <t>ACT Teacher</t>
  </si>
  <si>
    <t>Instructional Leader</t>
  </si>
  <si>
    <t>Instructional Staff</t>
  </si>
  <si>
    <t>Number of Instructional Staff</t>
  </si>
  <si>
    <t>Average Salary of Instructional Staff</t>
  </si>
  <si>
    <t>Avg Salary of Instructional Leaders</t>
  </si>
  <si>
    <t>Avg Salary of Non-Instructional</t>
  </si>
  <si>
    <t>Leader U</t>
  </si>
  <si>
    <t>Elective - PE</t>
  </si>
  <si>
    <t>DPCH DC Staffing</t>
  </si>
  <si>
    <t xml:space="preserve">% of students qualifying for trips </t>
  </si>
  <si>
    <t>HIGH</t>
  </si>
  <si>
    <t>RENT INCOME</t>
  </si>
  <si>
    <t>Per teacher per year</t>
  </si>
  <si>
    <t>Vision Insurance - monthly,</t>
  </si>
  <si>
    <t>TransitChek Takers</t>
  </si>
  <si>
    <t xml:space="preserve">DPCH(DC) Assumptions </t>
  </si>
  <si>
    <t>As of FY15DCPCS Budget -Per Pupil Funding Analysis</t>
  </si>
  <si>
    <t xml:space="preserve">Expansion CSP </t>
  </si>
  <si>
    <t>DPCH(DC) Budget Summary</t>
  </si>
  <si>
    <t>DPCH(DC) Budget Detail</t>
  </si>
  <si>
    <t>NO Alumni rev</t>
  </si>
  <si>
    <t xml:space="preserve">Per Staff Member </t>
  </si>
  <si>
    <t>Mac books</t>
  </si>
  <si>
    <t>4500 per month</t>
  </si>
  <si>
    <t>NOT ON JOHO LIST</t>
  </si>
  <si>
    <t xml:space="preserve">School phscologist </t>
  </si>
  <si>
    <t>Per Chris April 17</t>
  </si>
  <si>
    <t>Sean Reidy</t>
  </si>
  <si>
    <t>Julia King</t>
  </si>
  <si>
    <t>Monique Wright</t>
  </si>
  <si>
    <t>NOTE BUDGETED amount before today</t>
  </si>
  <si>
    <t>Michelle Mays</t>
  </si>
  <si>
    <t>Myia McDaniel</t>
  </si>
  <si>
    <t>Lee Khalid</t>
  </si>
  <si>
    <t>Shantia Edwards</t>
  </si>
  <si>
    <t>Keona Wiggins</t>
  </si>
  <si>
    <t>Jessica Butler</t>
  </si>
  <si>
    <t>Cynovia Hall</t>
  </si>
  <si>
    <t>Carla Toliver</t>
  </si>
  <si>
    <t>Morgan Young</t>
  </si>
  <si>
    <t>Kathleen Garrity</t>
  </si>
  <si>
    <t>Sharlene Honeywood</t>
  </si>
  <si>
    <t>Joseph Bolduc</t>
  </si>
  <si>
    <t>Victoria Klein</t>
  </si>
  <si>
    <t>Jerriel Hall</t>
  </si>
  <si>
    <t>Morgan McCrory</t>
  </si>
  <si>
    <t>Kim Samuel</t>
  </si>
  <si>
    <t>Neema Dasai</t>
  </si>
  <si>
    <t>Accociate for LU member</t>
  </si>
  <si>
    <t>Dafna Feith</t>
  </si>
  <si>
    <t>Andrew Gall</t>
  </si>
  <si>
    <t>Rebecca Slkepovich</t>
  </si>
  <si>
    <t>Kelly Harper</t>
  </si>
  <si>
    <t>Shamar Knight Justice</t>
  </si>
  <si>
    <t>Katelyn Gilbert</t>
  </si>
  <si>
    <t>Erica Campbell</t>
  </si>
  <si>
    <t>LaMassha Hawkins</t>
  </si>
  <si>
    <t>Molly Knig</t>
  </si>
  <si>
    <t>Stephanie Russell</t>
  </si>
  <si>
    <t>Rebecca Rubin</t>
  </si>
  <si>
    <t>Miriah Slade</t>
  </si>
  <si>
    <t>Ulaka Harris</t>
  </si>
  <si>
    <t>Elective - Dance</t>
  </si>
  <si>
    <t>Kimberly Gower</t>
  </si>
  <si>
    <t>Tracker May 28, 2014</t>
  </si>
  <si>
    <t>Federal Expansion Grant - CSP</t>
  </si>
  <si>
    <t>Unassigned</t>
  </si>
  <si>
    <t>Individual Support NSVF??????</t>
  </si>
  <si>
    <t>NOTE Pelim Budget submission reflected these numbers</t>
  </si>
  <si>
    <t>No Summer program assumed for year 0ne</t>
  </si>
  <si>
    <t>No Summer program assumed for year one</t>
  </si>
  <si>
    <t>25% of new staff will receive relocation bonus plus 10%referral</t>
  </si>
  <si>
    <t>RATE HAS CONTINGENCY &amp; NO RECOVERY</t>
  </si>
  <si>
    <t>FEDERAL FOOD SERVICE REIMBURSEMENT RATE</t>
  </si>
  <si>
    <t>REIMBURSEMENT PER STUDENT DAY</t>
  </si>
  <si>
    <t xml:space="preserve">NUMBER OF DAYS </t>
  </si>
  <si>
    <t xml:space="preserve">9% of $9,000 Does this apply </t>
  </si>
  <si>
    <t>$50 contribution to 50% of student population</t>
  </si>
  <si>
    <t>Annual income (Per Pupil x budgeted student enrollment)
Space allocation collected by DPCH (DC)  &amp; spent not passed to Apple Tree</t>
  </si>
  <si>
    <t>Sal not in Tracker</t>
  </si>
  <si>
    <t>Includes DC Region STAFF 4 paid for on CSP</t>
  </si>
  <si>
    <t>4 COACHES in grade 6 AT 2500</t>
  </si>
  <si>
    <t>Undetermined need</t>
  </si>
  <si>
    <t>FEDERAL FOOD SERVICE REVENUE</t>
  </si>
  <si>
    <t>2500 per grade  + act + other =(7 + 7 + 4)</t>
  </si>
  <si>
    <t>NY rates - per employee</t>
  </si>
  <si>
    <t>Could be as low as 65%</t>
  </si>
  <si>
    <t>Could be as high as 20%</t>
  </si>
  <si>
    <t>Could be lower</t>
  </si>
  <si>
    <t>Benefits related fees</t>
  </si>
  <si>
    <t>Funded via  grant - see above</t>
  </si>
  <si>
    <t>Includes Building Insurnce</t>
  </si>
  <si>
    <t>OSEE Grant</t>
  </si>
  <si>
    <t>Covers 2 ACD's + Bemefits</t>
  </si>
  <si>
    <t xml:space="preserve">Federal CSP - to cover expansion supplies &amp; material costs </t>
  </si>
  <si>
    <t xml:space="preserve">
NSVF Grant covering Builders 
</t>
  </si>
  <si>
    <t>?????</t>
  </si>
  <si>
    <t>Apple tree will run the program - funds passed thru</t>
  </si>
  <si>
    <t>Scholars</t>
  </si>
  <si>
    <t xml:space="preserve">DC PP rate times number of scholars </t>
  </si>
  <si>
    <t xml:space="preserve">DC PP rate times number of SpEd scholars </t>
  </si>
  <si>
    <t xml:space="preserve">DC PP rate times number of ELL scholars </t>
  </si>
  <si>
    <t>16 of the 550</t>
  </si>
  <si>
    <t>DC PP rate times number of scholars (prek - 6)</t>
  </si>
  <si>
    <t>Approved grant to cover Instructional leaders</t>
  </si>
  <si>
    <t>DPPS Federal Expansion grant to cover supplies &amp; materials</t>
  </si>
  <si>
    <t>Compensation: Program Incentives for FT Staff</t>
  </si>
  <si>
    <t>ATHLETIC STIPENDS</t>
  </si>
  <si>
    <t>Administrative Travel</t>
  </si>
  <si>
    <t>PCSB Administration fee (% of per pupil state funding)</t>
  </si>
  <si>
    <t>Apple Tree - PreK Provider</t>
  </si>
  <si>
    <t>School wide Professional Development</t>
  </si>
  <si>
    <t>Student Information System Support, Training and Subscriptions</t>
  </si>
  <si>
    <t>Reimbursement for technology / Communications</t>
  </si>
  <si>
    <t>Reimbursement for child nutrition</t>
  </si>
  <si>
    <t>New School Venture grant</t>
  </si>
  <si>
    <t>Un assigned grant</t>
  </si>
  <si>
    <t>3 instructional leaders</t>
  </si>
  <si>
    <t>46 instructional staff</t>
  </si>
  <si>
    <t>10 non instructional staff</t>
  </si>
  <si>
    <t>Additional staff time with scholars</t>
  </si>
  <si>
    <t>Personal days not used</t>
  </si>
  <si>
    <t>Incentive to refer teachers</t>
  </si>
  <si>
    <t>General benefits</t>
  </si>
  <si>
    <t>Includes insurance for building</t>
  </si>
  <si>
    <t>per pupil per day</t>
  </si>
  <si>
    <t>CMO Management fee</t>
  </si>
  <si>
    <t>Scholar recruiting organization fee</t>
  </si>
  <si>
    <t>Pass thru to Apple Tree</t>
  </si>
  <si>
    <t>Staff improvement expenses</t>
  </si>
  <si>
    <t xml:space="preserve">Funding for future scholar use </t>
  </si>
  <si>
    <t>Includes pre k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</si>
</sst>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&quot;$&quot;#,##0.00"/>
    <numFmt numFmtId="168" formatCode="_(* #,##0.0_);_(* \(#,##0.0\);_(* &quot;-&quot;??_);_(@_)"/>
    <numFmt numFmtId="169" formatCode="#,##0.00000000_);[Red]\(#,##0.00000000\)"/>
    <numFmt numFmtId="170" formatCode="0.000"/>
  </numFmts>
  <fonts count="4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</font>
    <font>
      <sz val="10"/>
      <color rgb="FFFF0000"/>
      <name val="Arial"/>
    </font>
    <font>
      <sz val="9"/>
      <name val="Arial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rgb="FF3366FF"/>
      <name val="Arial"/>
    </font>
    <font>
      <sz val="12"/>
      <name val="Arial"/>
    </font>
    <font>
      <b/>
      <sz val="12"/>
      <name val="Arial"/>
      <family val="2"/>
    </font>
    <font>
      <sz val="8"/>
      <color rgb="FF0070C0"/>
      <name val="Arial"/>
      <family val="2"/>
    </font>
    <font>
      <b/>
      <sz val="8"/>
      <color rgb="FFFF0000"/>
      <name val="Arial"/>
    </font>
    <font>
      <sz val="8"/>
      <color rgb="FFFF0000"/>
      <name val="Arial"/>
    </font>
    <font>
      <b/>
      <sz val="8"/>
      <color rgb="FF000000"/>
      <name val="Arial"/>
      <family val="2"/>
    </font>
    <font>
      <sz val="12"/>
      <name val="Calibri"/>
      <family val="2"/>
      <scheme val="minor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9"/>
      <color rgb="FF3366FF"/>
      <name val="Arial"/>
    </font>
    <font>
      <u/>
      <sz val="9"/>
      <color theme="3" tint="0.39997558519241921"/>
      <name val="Arial"/>
    </font>
    <font>
      <b/>
      <u val="singleAccounting"/>
      <sz val="9"/>
      <name val="Arial"/>
      <family val="2"/>
    </font>
    <font>
      <sz val="8"/>
      <color rgb="FF3366FF"/>
      <name val="Arial"/>
      <family val="2"/>
    </font>
    <font>
      <b/>
      <sz val="9"/>
      <color rgb="FF0070C0"/>
      <name val="Arial"/>
      <family val="2"/>
    </font>
    <font>
      <i/>
      <sz val="9"/>
      <name val="Arial"/>
    </font>
    <font>
      <sz val="8"/>
      <color theme="3" tint="0.39997558519241921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</font>
    <font>
      <sz val="10"/>
      <color theme="4"/>
      <name val="Arial"/>
    </font>
    <font>
      <b/>
      <sz val="10"/>
      <color rgb="FFFF0000"/>
      <name val="Arial"/>
    </font>
    <font>
      <sz val="8"/>
      <color theme="4"/>
      <name val="Arial"/>
    </font>
    <font>
      <sz val="11"/>
      <color rgb="FF0000FF"/>
      <name val="Arial"/>
    </font>
    <font>
      <sz val="11"/>
      <color theme="4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8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8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4">
    <xf numFmtId="0" fontId="0" fillId="0" borderId="0" xfId="0"/>
    <xf numFmtId="0" fontId="10" fillId="0" borderId="0" xfId="110"/>
    <xf numFmtId="0" fontId="10" fillId="0" borderId="0" xfId="110" applyAlignment="1">
      <alignment horizontal="right"/>
    </xf>
    <xf numFmtId="0" fontId="10" fillId="0" borderId="0" xfId="110" applyFont="1"/>
    <xf numFmtId="0" fontId="5" fillId="0" borderId="13" xfId="110" applyFont="1" applyBorder="1" applyAlignment="1">
      <alignment horizontal="center" vertical="center"/>
    </xf>
    <xf numFmtId="0" fontId="12" fillId="0" borderId="0" xfId="110" applyFont="1"/>
    <xf numFmtId="0" fontId="6" fillId="0" borderId="0" xfId="110" applyFont="1" applyBorder="1" applyAlignment="1">
      <alignment horizontal="center" vertical="center"/>
    </xf>
    <xf numFmtId="0" fontId="6" fillId="0" borderId="0" xfId="110" applyFont="1" applyBorder="1" applyAlignment="1">
      <alignment vertical="center"/>
    </xf>
    <xf numFmtId="0" fontId="12" fillId="3" borderId="0" xfId="110" applyFont="1" applyFill="1" applyBorder="1" applyAlignment="1">
      <alignment horizontal="right" vertical="center"/>
    </xf>
    <xf numFmtId="0" fontId="12" fillId="3" borderId="0" xfId="110" applyFont="1" applyFill="1" applyBorder="1" applyAlignment="1">
      <alignment vertical="center"/>
    </xf>
    <xf numFmtId="0" fontId="12" fillId="3" borderId="0" xfId="110" applyFont="1" applyFill="1"/>
    <xf numFmtId="164" fontId="12" fillId="0" borderId="0" xfId="112" applyNumberFormat="1" applyFont="1" applyFill="1" applyAlignment="1"/>
    <xf numFmtId="0" fontId="10" fillId="0" borderId="0" xfId="110" applyAlignment="1"/>
    <xf numFmtId="0" fontId="10" fillId="3" borderId="0" xfId="110" applyFill="1"/>
    <xf numFmtId="0" fontId="10" fillId="3" borderId="0" xfId="110" applyFont="1" applyFill="1"/>
    <xf numFmtId="0" fontId="10" fillId="0" borderId="0" xfId="110" applyFill="1"/>
    <xf numFmtId="0" fontId="5" fillId="0" borderId="13" xfId="110" applyFont="1" applyFill="1" applyBorder="1" applyAlignment="1">
      <alignment horizontal="left" vertical="center" wrapText="1"/>
    </xf>
    <xf numFmtId="0" fontId="12" fillId="0" borderId="0" xfId="110" applyFont="1" applyFill="1"/>
    <xf numFmtId="0" fontId="6" fillId="0" borderId="0" xfId="110" applyFont="1" applyFill="1" applyBorder="1" applyAlignment="1">
      <alignment horizontal="left" vertical="center" wrapText="1"/>
    </xf>
    <xf numFmtId="0" fontId="12" fillId="0" borderId="0" xfId="110" applyFont="1" applyFill="1" applyBorder="1"/>
    <xf numFmtId="167" fontId="12" fillId="0" borderId="0" xfId="110" applyNumberFormat="1" applyFont="1" applyFill="1" applyBorder="1" applyAlignment="1">
      <alignment horizontal="left" vertical="center" wrapText="1"/>
    </xf>
    <xf numFmtId="0" fontId="12" fillId="0" borderId="0" xfId="110" applyFont="1" applyFill="1" applyBorder="1" applyAlignment="1">
      <alignment vertical="center"/>
    </xf>
    <xf numFmtId="0" fontId="12" fillId="0" borderId="0" xfId="110" applyFont="1" applyFill="1" applyBorder="1" applyAlignment="1">
      <alignment horizontal="right"/>
    </xf>
    <xf numFmtId="0" fontId="12" fillId="0" borderId="8" xfId="110" applyFont="1" applyFill="1" applyBorder="1" applyAlignment="1">
      <alignment vertical="center"/>
    </xf>
    <xf numFmtId="0" fontId="12" fillId="3" borderId="0" xfId="110" applyFont="1" applyFill="1" applyBorder="1"/>
    <xf numFmtId="0" fontId="12" fillId="0" borderId="0" xfId="110" applyFont="1" applyFill="1" applyAlignment="1"/>
    <xf numFmtId="0" fontId="12" fillId="0" borderId="0" xfId="110" applyFont="1" applyFill="1" applyAlignment="1">
      <alignment horizontal="left"/>
    </xf>
    <xf numFmtId="166" fontId="12" fillId="0" borderId="0" xfId="110" applyNumberFormat="1" applyFont="1" applyFill="1" applyAlignment="1"/>
    <xf numFmtId="0" fontId="8" fillId="0" borderId="0" xfId="110" applyNumberFormat="1" applyFont="1" applyFill="1" applyAlignment="1">
      <alignment horizontal="center" vertical="center"/>
    </xf>
    <xf numFmtId="0" fontId="8" fillId="0" borderId="0" xfId="110" applyNumberFormat="1" applyFont="1" applyFill="1" applyAlignment="1">
      <alignment horizontal="left" vertical="center"/>
    </xf>
    <xf numFmtId="0" fontId="12" fillId="3" borderId="8" xfId="110" applyFont="1" applyFill="1" applyBorder="1" applyAlignment="1">
      <alignment vertical="center"/>
    </xf>
    <xf numFmtId="164" fontId="0" fillId="0" borderId="0" xfId="112" applyNumberFormat="1" applyFont="1" applyFill="1" applyAlignment="1">
      <alignment vertical="center"/>
    </xf>
    <xf numFmtId="38" fontId="8" fillId="0" borderId="0" xfId="112" applyNumberFormat="1" applyFont="1" applyFill="1" applyBorder="1" applyAlignment="1">
      <alignment vertical="center"/>
    </xf>
    <xf numFmtId="38" fontId="8" fillId="0" borderId="0" xfId="112" applyNumberFormat="1" applyFont="1" applyBorder="1" applyAlignment="1">
      <alignment vertical="center"/>
    </xf>
    <xf numFmtId="38" fontId="7" fillId="0" borderId="0" xfId="112" applyNumberFormat="1" applyFont="1" applyBorder="1" applyAlignment="1">
      <alignment vertical="center"/>
    </xf>
    <xf numFmtId="9" fontId="10" fillId="0" borderId="0" xfId="1" applyFont="1"/>
    <xf numFmtId="0" fontId="12" fillId="0" borderId="13" xfId="110" applyFont="1" applyFill="1" applyBorder="1"/>
    <xf numFmtId="0" fontId="12" fillId="3" borderId="13" xfId="110" applyFont="1" applyFill="1" applyBorder="1"/>
    <xf numFmtId="0" fontId="12" fillId="3" borderId="13" xfId="110" applyFont="1" applyFill="1" applyBorder="1" applyAlignment="1">
      <alignment vertical="center"/>
    </xf>
    <xf numFmtId="164" fontId="11" fillId="0" borderId="0" xfId="112" applyNumberFormat="1" applyFont="1" applyFill="1" applyAlignment="1">
      <alignment vertical="center"/>
    </xf>
    <xf numFmtId="0" fontId="18" fillId="0" borderId="0" xfId="110" applyFont="1" applyFill="1"/>
    <xf numFmtId="0" fontId="5" fillId="0" borderId="0" xfId="110" applyFont="1"/>
    <xf numFmtId="164" fontId="0" fillId="0" borderId="0" xfId="112" applyNumberFormat="1" applyFont="1" applyFill="1"/>
    <xf numFmtId="164" fontId="0" fillId="0" borderId="0" xfId="112" applyNumberFormat="1" applyFont="1"/>
    <xf numFmtId="164" fontId="5" fillId="0" borderId="0" xfId="112" applyNumberFormat="1" applyFont="1" applyFill="1"/>
    <xf numFmtId="164" fontId="10" fillId="0" borderId="0" xfId="110" applyNumberFormat="1"/>
    <xf numFmtId="164" fontId="0" fillId="3" borderId="0" xfId="112" applyNumberFormat="1" applyFont="1" applyFill="1"/>
    <xf numFmtId="0" fontId="25" fillId="0" borderId="0" xfId="110" applyFont="1" applyAlignment="1">
      <alignment horizontal="left"/>
    </xf>
    <xf numFmtId="0" fontId="8" fillId="0" borderId="0" xfId="110" applyNumberFormat="1" applyFont="1" applyFill="1" applyAlignment="1">
      <alignment wrapText="1"/>
    </xf>
    <xf numFmtId="0" fontId="6" fillId="0" borderId="0" xfId="110" applyNumberFormat="1" applyFont="1" applyFill="1" applyAlignment="1">
      <alignment wrapText="1"/>
    </xf>
    <xf numFmtId="164" fontId="12" fillId="0" borderId="0" xfId="112" applyNumberFormat="1" applyFont="1" applyFill="1"/>
    <xf numFmtId="0" fontId="8" fillId="9" borderId="0" xfId="110" applyNumberFormat="1" applyFont="1" applyFill="1" applyAlignment="1">
      <alignment wrapText="1"/>
    </xf>
    <xf numFmtId="0" fontId="8" fillId="10" borderId="0" xfId="110" applyNumberFormat="1" applyFont="1" applyFill="1" applyAlignment="1">
      <alignment wrapText="1"/>
    </xf>
    <xf numFmtId="0" fontId="8" fillId="3" borderId="0" xfId="110" applyNumberFormat="1" applyFont="1" applyFill="1" applyAlignment="1">
      <alignment wrapText="1"/>
    </xf>
    <xf numFmtId="0" fontId="11" fillId="3" borderId="0" xfId="110" applyFont="1" applyFill="1"/>
    <xf numFmtId="0" fontId="11" fillId="0" borderId="0" xfId="110" applyFont="1"/>
    <xf numFmtId="0" fontId="11" fillId="0" borderId="0" xfId="110" applyFont="1" applyFill="1"/>
    <xf numFmtId="9" fontId="27" fillId="0" borderId="0" xfId="111" applyFont="1"/>
    <xf numFmtId="0" fontId="10" fillId="10" borderId="0" xfId="110" applyFill="1"/>
    <xf numFmtId="0" fontId="10" fillId="9" borderId="0" xfId="110" applyFill="1"/>
    <xf numFmtId="0" fontId="29" fillId="0" borderId="0" xfId="110" applyFont="1"/>
    <xf numFmtId="164" fontId="29" fillId="0" borderId="0" xfId="112" applyNumberFormat="1" applyFont="1" applyFill="1"/>
    <xf numFmtId="1" fontId="12" fillId="0" borderId="0" xfId="110" applyNumberFormat="1" applyFont="1"/>
    <xf numFmtId="0" fontId="10" fillId="0" borderId="0" xfId="110" applyAlignment="1">
      <alignment vertical="center"/>
    </xf>
    <xf numFmtId="164" fontId="0" fillId="0" borderId="0" xfId="112" applyNumberFormat="1" applyFont="1" applyAlignment="1">
      <alignment vertical="center"/>
    </xf>
    <xf numFmtId="0" fontId="11" fillId="0" borderId="0" xfId="110" applyFont="1" applyFill="1" applyAlignment="1">
      <alignment vertical="center"/>
    </xf>
    <xf numFmtId="0" fontId="5" fillId="0" borderId="0" xfId="110" applyNumberFormat="1" applyFont="1" applyFill="1" applyAlignment="1">
      <alignment vertical="center"/>
    </xf>
    <xf numFmtId="0" fontId="10" fillId="0" borderId="0" xfId="110" applyFill="1" applyAlignment="1">
      <alignment vertical="center"/>
    </xf>
    <xf numFmtId="0" fontId="8" fillId="0" borderId="0" xfId="110" applyFont="1" applyAlignment="1">
      <alignment vertical="center"/>
    </xf>
    <xf numFmtId="0" fontId="6" fillId="0" borderId="24" xfId="110" applyFont="1" applyBorder="1" applyAlignment="1">
      <alignment horizontal="center" vertical="center" wrapText="1"/>
    </xf>
    <xf numFmtId="166" fontId="8" fillId="0" borderId="0" xfId="634" applyNumberFormat="1" applyFont="1" applyFill="1" applyAlignment="1">
      <alignment horizontal="right" vertical="center"/>
    </xf>
    <xf numFmtId="0" fontId="8" fillId="0" borderId="0" xfId="110" applyFont="1" applyFill="1" applyAlignment="1">
      <alignment vertical="center"/>
    </xf>
    <xf numFmtId="0" fontId="8" fillId="3" borderId="0" xfId="110" applyFont="1" applyFill="1" applyAlignment="1">
      <alignment vertical="center"/>
    </xf>
    <xf numFmtId="0" fontId="10" fillId="3" borderId="0" xfId="110" applyFill="1" applyAlignment="1">
      <alignment vertical="center"/>
    </xf>
    <xf numFmtId="0" fontId="11" fillId="3" borderId="0" xfId="110" applyFont="1" applyFill="1" applyAlignment="1">
      <alignment vertical="center"/>
    </xf>
    <xf numFmtId="0" fontId="22" fillId="3" borderId="0" xfId="110" applyFont="1" applyFill="1" applyAlignment="1">
      <alignment vertical="center"/>
    </xf>
    <xf numFmtId="164" fontId="6" fillId="0" borderId="0" xfId="112" quotePrefix="1" applyNumberFormat="1" applyFont="1" applyFill="1" applyBorder="1" applyAlignment="1">
      <alignment horizontal="center" vertical="center" wrapText="1"/>
    </xf>
    <xf numFmtId="0" fontId="6" fillId="0" borderId="0" xfId="110" applyFont="1" applyFill="1" applyBorder="1" applyAlignment="1">
      <alignment horizontal="center" vertical="center" wrapText="1"/>
    </xf>
    <xf numFmtId="0" fontId="6" fillId="0" borderId="0" xfId="110" applyNumberFormat="1" applyFont="1" applyFill="1" applyAlignment="1">
      <alignment vertical="center"/>
    </xf>
    <xf numFmtId="165" fontId="34" fillId="0" borderId="0" xfId="111" applyNumberFormat="1" applyFont="1" applyFill="1" applyBorder="1" applyAlignment="1">
      <alignment horizontal="center" vertical="center" wrapText="1"/>
    </xf>
    <xf numFmtId="164" fontId="6" fillId="0" borderId="0" xfId="112" applyNumberFormat="1" applyFont="1" applyFill="1" applyBorder="1" applyAlignment="1">
      <alignment horizontal="center" vertical="center" wrapText="1"/>
    </xf>
    <xf numFmtId="0" fontId="35" fillId="0" borderId="0" xfId="110" applyFont="1" applyFill="1" applyBorder="1" applyAlignment="1">
      <alignment horizontal="left" vertical="center" wrapText="1"/>
    </xf>
    <xf numFmtId="0" fontId="10" fillId="0" borderId="11" xfId="110" applyFill="1" applyBorder="1" applyAlignment="1">
      <alignment vertical="center"/>
    </xf>
    <xf numFmtId="0" fontId="12" fillId="0" borderId="0" xfId="110" applyFont="1" applyFill="1" applyBorder="1" applyAlignment="1">
      <alignment horizontal="left" vertical="center" wrapText="1"/>
    </xf>
    <xf numFmtId="0" fontId="6" fillId="3" borderId="0" xfId="110" applyFont="1" applyFill="1" applyBorder="1" applyAlignment="1">
      <alignment horizontal="center" vertical="center" wrapText="1"/>
    </xf>
    <xf numFmtId="0" fontId="6" fillId="3" borderId="0" xfId="110" applyFont="1" applyFill="1" applyBorder="1" applyAlignment="1">
      <alignment horizontal="left" vertical="center" wrapText="1"/>
    </xf>
    <xf numFmtId="0" fontId="14" fillId="3" borderId="0" xfId="110" applyFont="1" applyFill="1" applyBorder="1" applyAlignment="1">
      <alignment horizontal="left" vertical="center" wrapText="1"/>
    </xf>
    <xf numFmtId="0" fontId="12" fillId="3" borderId="0" xfId="110" applyFont="1" applyFill="1" applyBorder="1" applyAlignment="1">
      <alignment horizontal="left" vertical="center" wrapText="1"/>
    </xf>
    <xf numFmtId="165" fontId="12" fillId="3" borderId="0" xfId="110" applyNumberFormat="1" applyFont="1" applyFill="1" applyBorder="1" applyAlignment="1">
      <alignment horizontal="left" vertical="center" wrapText="1"/>
    </xf>
    <xf numFmtId="0" fontId="12" fillId="0" borderId="0" xfId="110" applyFont="1" applyFill="1" applyAlignment="1">
      <alignment vertical="center"/>
    </xf>
    <xf numFmtId="0" fontId="8" fillId="0" borderId="0" xfId="110" applyFont="1" applyFill="1" applyAlignment="1">
      <alignment horizontal="left" vertical="center"/>
    </xf>
    <xf numFmtId="0" fontId="22" fillId="3" borderId="0" xfId="110" applyFont="1" applyFill="1" applyAlignment="1">
      <alignment horizontal="left" vertical="center"/>
    </xf>
    <xf numFmtId="0" fontId="12" fillId="3" borderId="0" xfId="110" applyFont="1" applyFill="1" applyAlignment="1">
      <alignment vertical="center"/>
    </xf>
    <xf numFmtId="164" fontId="12" fillId="0" borderId="0" xfId="112" applyNumberFormat="1" applyFont="1" applyFill="1" applyAlignment="1">
      <alignment vertical="center"/>
    </xf>
    <xf numFmtId="10" fontId="7" fillId="0" borderId="0" xfId="110" applyNumberFormat="1" applyFont="1" applyFill="1" applyAlignment="1">
      <alignment horizontal="left" vertical="center"/>
    </xf>
    <xf numFmtId="38" fontId="8" fillId="0" borderId="0" xfId="112" applyNumberFormat="1" applyFont="1" applyFill="1" applyAlignment="1">
      <alignment vertical="center"/>
    </xf>
    <xf numFmtId="38" fontId="8" fillId="3" borderId="0" xfId="112" applyNumberFormat="1" applyFont="1" applyFill="1" applyAlignment="1">
      <alignment vertical="center"/>
    </xf>
    <xf numFmtId="38" fontId="7" fillId="3" borderId="0" xfId="112" applyNumberFormat="1" applyFont="1" applyFill="1" applyAlignment="1">
      <alignment vertical="center"/>
    </xf>
    <xf numFmtId="38" fontId="8" fillId="3" borderId="0" xfId="112" applyNumberFormat="1" applyFont="1" applyFill="1" applyBorder="1" applyAlignment="1">
      <alignment vertical="center"/>
    </xf>
    <xf numFmtId="38" fontId="7" fillId="0" borderId="0" xfId="112" applyNumberFormat="1" applyFont="1" applyFill="1" applyBorder="1" applyAlignment="1">
      <alignment vertical="center"/>
    </xf>
    <xf numFmtId="38" fontId="22" fillId="0" borderId="0" xfId="112" applyNumberFormat="1" applyFont="1" applyFill="1" applyBorder="1" applyAlignment="1">
      <alignment vertical="center"/>
    </xf>
    <xf numFmtId="0" fontId="8" fillId="0" borderId="0" xfId="110" applyFont="1" applyFill="1" applyBorder="1" applyAlignment="1">
      <alignment vertical="center"/>
    </xf>
    <xf numFmtId="38" fontId="22" fillId="3" borderId="0" xfId="112" applyNumberFormat="1" applyFont="1" applyFill="1" applyBorder="1" applyAlignment="1">
      <alignment vertical="center"/>
    </xf>
    <xf numFmtId="38" fontId="8" fillId="0" borderId="0" xfId="112" applyNumberFormat="1" applyFont="1" applyFill="1" applyBorder="1" applyAlignment="1">
      <alignment vertical="center" wrapText="1"/>
    </xf>
    <xf numFmtId="0" fontId="10" fillId="0" borderId="0" xfId="110" applyFont="1" applyFill="1" applyAlignment="1">
      <alignment vertical="center"/>
    </xf>
    <xf numFmtId="0" fontId="10" fillId="5" borderId="0" xfId="110" applyFill="1" applyAlignment="1">
      <alignment vertical="center"/>
    </xf>
    <xf numFmtId="38" fontId="21" fillId="3" borderId="0" xfId="112" applyNumberFormat="1" applyFont="1" applyFill="1" applyBorder="1" applyAlignment="1">
      <alignment vertical="center"/>
    </xf>
    <xf numFmtId="38" fontId="8" fillId="0" borderId="0" xfId="112" applyNumberFormat="1" applyFont="1" applyFill="1" applyBorder="1" applyAlignment="1">
      <alignment horizontal="right" vertical="center"/>
    </xf>
    <xf numFmtId="4" fontId="7" fillId="0" borderId="0" xfId="110" applyNumberFormat="1" applyFont="1" applyFill="1" applyAlignment="1">
      <alignment horizontal="left" vertical="center"/>
    </xf>
    <xf numFmtId="170" fontId="8" fillId="0" borderId="0" xfId="111" applyNumberFormat="1" applyFont="1" applyBorder="1" applyAlignment="1">
      <alignment vertical="center"/>
    </xf>
    <xf numFmtId="38" fontId="8" fillId="0" borderId="0" xfId="112" applyNumberFormat="1" applyFont="1" applyFill="1" applyBorder="1" applyAlignment="1">
      <alignment horizontal="right"/>
    </xf>
    <xf numFmtId="38" fontId="7" fillId="0" borderId="0" xfId="112" applyNumberFormat="1" applyFont="1" applyFill="1" applyBorder="1" applyAlignment="1">
      <alignment horizontal="right" vertical="center"/>
    </xf>
    <xf numFmtId="164" fontId="8" fillId="0" borderId="0" xfId="112" applyNumberFormat="1" applyFont="1" applyAlignment="1">
      <alignment vertical="center"/>
    </xf>
    <xf numFmtId="0" fontId="10" fillId="0" borderId="0" xfId="110" applyFont="1" applyAlignment="1">
      <alignment vertical="center" wrapText="1"/>
    </xf>
    <xf numFmtId="0" fontId="10" fillId="0" borderId="0" xfId="110" applyAlignment="1">
      <alignment vertical="center" wrapText="1"/>
    </xf>
    <xf numFmtId="0" fontId="4" fillId="0" borderId="0" xfId="110" applyFont="1" applyAlignment="1">
      <alignment horizontal="center" vertical="center"/>
    </xf>
    <xf numFmtId="164" fontId="13" fillId="0" borderId="0" xfId="112" applyNumberFormat="1" applyFont="1" applyFill="1" applyBorder="1" applyAlignment="1">
      <alignment vertical="center"/>
    </xf>
    <xf numFmtId="167" fontId="37" fillId="0" borderId="0" xfId="110" applyNumberFormat="1" applyFont="1" applyFill="1" applyBorder="1" applyAlignment="1">
      <alignment horizontal="left" vertical="center" wrapText="1"/>
    </xf>
    <xf numFmtId="0" fontId="12" fillId="0" borderId="0" xfId="110" applyFont="1" applyAlignment="1">
      <alignment horizontal="right"/>
    </xf>
    <xf numFmtId="166" fontId="6" fillId="0" borderId="0" xfId="110" applyNumberFormat="1" applyFont="1" applyFill="1" applyAlignment="1"/>
    <xf numFmtId="0" fontId="12" fillId="0" borderId="0" xfId="110" applyFont="1" applyAlignment="1">
      <alignment horizontal="left"/>
    </xf>
    <xf numFmtId="166" fontId="12" fillId="0" borderId="0" xfId="112" applyNumberFormat="1" applyFont="1" applyFill="1" applyAlignment="1"/>
    <xf numFmtId="0" fontId="10" fillId="0" borderId="0" xfId="110" applyFill="1" applyAlignment="1"/>
    <xf numFmtId="0" fontId="10" fillId="0" borderId="0" xfId="110" applyAlignment="1">
      <alignment horizontal="left"/>
    </xf>
    <xf numFmtId="164" fontId="12" fillId="0" borderId="0" xfId="110" applyNumberFormat="1" applyFont="1" applyFill="1" applyAlignment="1"/>
    <xf numFmtId="0" fontId="12" fillId="0" borderId="12" xfId="110" applyFont="1" applyFill="1" applyBorder="1" applyAlignment="1">
      <alignment horizontal="right"/>
    </xf>
    <xf numFmtId="0" fontId="12" fillId="0" borderId="10" xfId="110" applyFont="1" applyFill="1" applyBorder="1" applyAlignment="1">
      <alignment horizontal="right"/>
    </xf>
    <xf numFmtId="0" fontId="12" fillId="0" borderId="0" xfId="110" applyFont="1" applyBorder="1"/>
    <xf numFmtId="0" fontId="12" fillId="0" borderId="10" xfId="110" applyFont="1" applyFill="1" applyBorder="1" applyAlignment="1">
      <alignment horizontal="right" vertical="center"/>
    </xf>
    <xf numFmtId="0" fontId="12" fillId="3" borderId="7" xfId="110" applyFont="1" applyFill="1" applyBorder="1" applyAlignment="1">
      <alignment horizontal="right" vertical="center"/>
    </xf>
    <xf numFmtId="0" fontId="12" fillId="3" borderId="10" xfId="110" applyFont="1" applyFill="1" applyBorder="1" applyAlignment="1">
      <alignment horizontal="right" vertical="center"/>
    </xf>
    <xf numFmtId="0" fontId="12" fillId="3" borderId="12" xfId="110" applyFont="1" applyFill="1" applyBorder="1" applyAlignment="1">
      <alignment horizontal="right" vertical="center"/>
    </xf>
    <xf numFmtId="0" fontId="12" fillId="3" borderId="10" xfId="110" applyFont="1" applyFill="1" applyBorder="1" applyAlignment="1">
      <alignment horizontal="right"/>
    </xf>
    <xf numFmtId="164" fontId="13" fillId="0" borderId="14" xfId="112" applyNumberFormat="1" applyFont="1" applyFill="1" applyBorder="1" applyAlignment="1">
      <alignment vertical="center"/>
    </xf>
    <xf numFmtId="0" fontId="5" fillId="2" borderId="13" xfId="110" applyFont="1" applyFill="1" applyBorder="1" applyAlignment="1">
      <alignment horizontal="center" vertical="center"/>
    </xf>
    <xf numFmtId="0" fontId="12" fillId="0" borderId="13" xfId="110" applyFont="1" applyBorder="1"/>
    <xf numFmtId="167" fontId="14" fillId="0" borderId="0" xfId="110" applyNumberFormat="1" applyFont="1" applyFill="1" applyBorder="1" applyAlignment="1">
      <alignment horizontal="left" vertical="center"/>
    </xf>
    <xf numFmtId="38" fontId="8" fillId="0" borderId="0" xfId="0" applyNumberFormat="1" applyFont="1" applyAlignment="1">
      <alignment vertical="center"/>
    </xf>
    <xf numFmtId="0" fontId="9" fillId="0" borderId="0" xfId="110" applyFont="1" applyAlignment="1">
      <alignment horizontal="left"/>
    </xf>
    <xf numFmtId="0" fontId="39" fillId="0" borderId="0" xfId="110" applyFont="1" applyFill="1" applyBorder="1" applyAlignment="1">
      <alignment vertical="center"/>
    </xf>
    <xf numFmtId="1" fontId="29" fillId="0" borderId="0" xfId="110" applyNumberFormat="1" applyFont="1" applyFill="1"/>
    <xf numFmtId="0" fontId="41" fillId="0" borderId="0" xfId="110" applyFont="1"/>
    <xf numFmtId="166" fontId="41" fillId="0" borderId="0" xfId="110" applyNumberFormat="1" applyFont="1"/>
    <xf numFmtId="10" fontId="41" fillId="0" borderId="0" xfId="1" applyNumberFormat="1" applyFont="1"/>
    <xf numFmtId="0" fontId="10" fillId="7" borderId="0" xfId="110" applyFill="1" applyAlignment="1">
      <alignment horizontal="left"/>
    </xf>
    <xf numFmtId="0" fontId="5" fillId="0" borderId="0" xfId="110" applyNumberFormat="1" applyFont="1" applyFill="1" applyAlignment="1">
      <alignment horizontal="center" vertical="center"/>
    </xf>
    <xf numFmtId="0" fontId="10" fillId="0" borderId="2" xfId="110" applyFill="1" applyBorder="1"/>
    <xf numFmtId="0" fontId="6" fillId="0" borderId="3" xfId="110" applyNumberFormat="1" applyFont="1" applyFill="1" applyBorder="1" applyAlignment="1">
      <alignment wrapText="1"/>
    </xf>
    <xf numFmtId="0" fontId="10" fillId="0" borderId="4" xfId="110" applyFill="1" applyBorder="1"/>
    <xf numFmtId="0" fontId="23" fillId="0" borderId="3" xfId="110" applyNumberFormat="1" applyFont="1" applyBorder="1"/>
    <xf numFmtId="164" fontId="12" fillId="0" borderId="4" xfId="112" applyNumberFormat="1" applyFont="1" applyFill="1" applyBorder="1"/>
    <xf numFmtId="164" fontId="30" fillId="0" borderId="4" xfId="112" applyNumberFormat="1" applyFont="1" applyFill="1" applyBorder="1"/>
    <xf numFmtId="10" fontId="7" fillId="0" borderId="3" xfId="110" applyNumberFormat="1" applyFont="1" applyFill="1" applyBorder="1" applyAlignment="1">
      <alignment horizontal="left" vertical="center"/>
    </xf>
    <xf numFmtId="0" fontId="27" fillId="0" borderId="3" xfId="110" applyNumberFormat="1" applyFont="1" applyFill="1" applyBorder="1" applyAlignment="1">
      <alignment wrapText="1"/>
    </xf>
    <xf numFmtId="164" fontId="27" fillId="0" borderId="4" xfId="112" applyNumberFormat="1" applyFont="1" applyFill="1" applyBorder="1"/>
    <xf numFmtId="10" fontId="7" fillId="0" borderId="5" xfId="110" applyNumberFormat="1" applyFont="1" applyFill="1" applyBorder="1" applyAlignment="1">
      <alignment horizontal="left" vertical="center"/>
    </xf>
    <xf numFmtId="38" fontId="8" fillId="0" borderId="6" xfId="112" applyNumberFormat="1" applyFont="1" applyBorder="1" applyAlignment="1">
      <alignment vertical="center"/>
    </xf>
    <xf numFmtId="10" fontId="7" fillId="0" borderId="0" xfId="110" applyNumberFormat="1" applyFont="1" applyFill="1" applyAlignment="1">
      <alignment horizontal="center" vertical="center"/>
    </xf>
    <xf numFmtId="0" fontId="7" fillId="0" borderId="1" xfId="110" applyNumberFormat="1" applyFont="1" applyFill="1" applyBorder="1" applyAlignment="1">
      <alignment horizontal="center" wrapText="1"/>
    </xf>
    <xf numFmtId="0" fontId="8" fillId="0" borderId="3" xfId="110" applyNumberFormat="1" applyFont="1" applyFill="1" applyBorder="1" applyAlignment="1">
      <alignment wrapText="1"/>
    </xf>
    <xf numFmtId="38" fontId="8" fillId="0" borderId="4" xfId="112" applyNumberFormat="1" applyFont="1" applyFill="1" applyBorder="1" applyAlignment="1">
      <alignment vertical="center"/>
    </xf>
    <xf numFmtId="10" fontId="7" fillId="0" borderId="5" xfId="110" applyNumberFormat="1" applyFont="1" applyFill="1" applyBorder="1" applyAlignment="1">
      <alignment horizontal="center" vertical="center"/>
    </xf>
    <xf numFmtId="38" fontId="8" fillId="0" borderId="6" xfId="112" applyNumberFormat="1" applyFont="1" applyFill="1" applyBorder="1" applyAlignment="1">
      <alignment vertical="center"/>
    </xf>
    <xf numFmtId="165" fontId="36" fillId="0" borderId="2" xfId="111" applyNumberFormat="1" applyFont="1" applyFill="1" applyBorder="1" applyAlignment="1">
      <alignment vertical="center"/>
    </xf>
    <xf numFmtId="38" fontId="8" fillId="0" borderId="2" xfId="112" applyNumberFormat="1" applyFont="1" applyFill="1" applyBorder="1" applyAlignment="1">
      <alignment vertical="center"/>
    </xf>
    <xf numFmtId="38" fontId="20" fillId="0" borderId="4" xfId="112" applyNumberFormat="1" applyFont="1" applyFill="1" applyBorder="1" applyAlignment="1">
      <alignment horizontal="right" vertical="center"/>
    </xf>
    <xf numFmtId="38" fontId="8" fillId="0" borderId="4" xfId="112" applyNumberFormat="1" applyFont="1" applyFill="1" applyBorder="1" applyAlignment="1">
      <alignment horizontal="right" vertical="center"/>
    </xf>
    <xf numFmtId="0" fontId="8" fillId="0" borderId="5" xfId="110" applyNumberFormat="1" applyFont="1" applyFill="1" applyBorder="1" applyAlignment="1">
      <alignment wrapText="1"/>
    </xf>
    <xf numFmtId="38" fontId="33" fillId="0" borderId="6" xfId="112" applyNumberFormat="1" applyFont="1" applyFill="1" applyBorder="1" applyAlignment="1">
      <alignment horizontal="right" vertical="center"/>
    </xf>
    <xf numFmtId="0" fontId="8" fillId="3" borderId="3" xfId="110" applyNumberFormat="1" applyFont="1" applyFill="1" applyBorder="1" applyAlignment="1">
      <alignment wrapText="1"/>
    </xf>
    <xf numFmtId="38" fontId="36" fillId="3" borderId="4" xfId="112" applyNumberFormat="1" applyFont="1" applyFill="1" applyBorder="1" applyAlignment="1">
      <alignment vertical="center"/>
    </xf>
    <xf numFmtId="38" fontId="36" fillId="3" borderId="4" xfId="112" applyNumberFormat="1" applyFont="1" applyFill="1" applyBorder="1" applyAlignment="1">
      <alignment horizontal="right" vertical="center"/>
    </xf>
    <xf numFmtId="0" fontId="8" fillId="3" borderId="5" xfId="110" applyNumberFormat="1" applyFont="1" applyFill="1" applyBorder="1" applyAlignment="1">
      <alignment wrapText="1"/>
    </xf>
    <xf numFmtId="38" fontId="36" fillId="3" borderId="6" xfId="112" applyNumberFormat="1" applyFont="1" applyFill="1" applyBorder="1" applyAlignment="1">
      <alignment horizontal="right" vertical="center"/>
    </xf>
    <xf numFmtId="38" fontId="7" fillId="0" borderId="2" xfId="112" applyNumberFormat="1" applyFont="1" applyFill="1" applyBorder="1" applyAlignment="1">
      <alignment vertical="center"/>
    </xf>
    <xf numFmtId="38" fontId="33" fillId="0" borderId="4" xfId="112" applyNumberFormat="1" applyFont="1" applyFill="1" applyBorder="1" applyAlignment="1">
      <alignment vertical="center"/>
    </xf>
    <xf numFmtId="38" fontId="20" fillId="0" borderId="4" xfId="112" applyNumberFormat="1" applyFont="1" applyFill="1" applyBorder="1" applyAlignment="1">
      <alignment vertical="center"/>
    </xf>
    <xf numFmtId="9" fontId="20" fillId="0" borderId="4" xfId="111" applyFont="1" applyFill="1" applyBorder="1" applyAlignment="1">
      <alignment vertical="center"/>
    </xf>
    <xf numFmtId="38" fontId="33" fillId="0" borderId="6" xfId="112" applyNumberFormat="1" applyFont="1" applyFill="1" applyBorder="1" applyAlignment="1">
      <alignment vertical="center"/>
    </xf>
    <xf numFmtId="38" fontId="20" fillId="0" borderId="6" xfId="112" applyNumberFormat="1" applyFont="1" applyFill="1" applyBorder="1" applyAlignment="1">
      <alignment vertical="center"/>
    </xf>
    <xf numFmtId="40" fontId="33" fillId="0" borderId="4" xfId="112" applyNumberFormat="1" applyFont="1" applyFill="1" applyBorder="1" applyAlignment="1">
      <alignment vertical="center"/>
    </xf>
    <xf numFmtId="9" fontId="33" fillId="3" borderId="4" xfId="111" applyFont="1" applyFill="1" applyBorder="1" applyAlignment="1">
      <alignment vertical="center"/>
    </xf>
    <xf numFmtId="9" fontId="33" fillId="0" borderId="4" xfId="111" applyFont="1" applyFill="1" applyBorder="1" applyAlignment="1">
      <alignment vertical="center"/>
    </xf>
    <xf numFmtId="164" fontId="8" fillId="0" borderId="6" xfId="112" applyNumberFormat="1" applyFont="1" applyFill="1" applyBorder="1" applyAlignment="1">
      <alignment vertical="center"/>
    </xf>
    <xf numFmtId="164" fontId="8" fillId="0" borderId="4" xfId="112" applyNumberFormat="1" applyFont="1" applyFill="1" applyBorder="1" applyAlignment="1">
      <alignment vertical="center"/>
    </xf>
    <xf numFmtId="164" fontId="33" fillId="0" borderId="4" xfId="112" applyNumberFormat="1" applyFont="1" applyFill="1" applyBorder="1" applyAlignment="1">
      <alignment vertical="center"/>
    </xf>
    <xf numFmtId="165" fontId="20" fillId="0" borderId="4" xfId="111" applyNumberFormat="1" applyFont="1" applyFill="1" applyBorder="1" applyAlignment="1">
      <alignment vertical="center"/>
    </xf>
    <xf numFmtId="10" fontId="20" fillId="0" borderId="4" xfId="111" applyNumberFormat="1" applyFont="1" applyFill="1" applyBorder="1" applyAlignment="1">
      <alignment vertical="center"/>
    </xf>
    <xf numFmtId="165" fontId="33" fillId="0" borderId="4" xfId="111" applyNumberFormat="1" applyFont="1" applyFill="1" applyBorder="1" applyAlignment="1">
      <alignment vertical="center"/>
    </xf>
    <xf numFmtId="43" fontId="33" fillId="0" borderId="4" xfId="112" applyFont="1" applyFill="1" applyBorder="1" applyAlignment="1">
      <alignment vertical="center"/>
    </xf>
    <xf numFmtId="169" fontId="40" fillId="0" borderId="4" xfId="112" applyNumberFormat="1" applyFont="1" applyFill="1" applyBorder="1" applyAlignment="1">
      <alignment vertical="center"/>
    </xf>
    <xf numFmtId="169" fontId="17" fillId="0" borderId="4" xfId="112" applyNumberFormat="1" applyFont="1" applyFill="1" applyBorder="1" applyAlignment="1">
      <alignment vertical="center"/>
    </xf>
    <xf numFmtId="10" fontId="33" fillId="0" borderId="6" xfId="111" applyNumberFormat="1" applyFont="1" applyFill="1" applyBorder="1" applyAlignment="1">
      <alignment vertical="center"/>
    </xf>
    <xf numFmtId="0" fontId="6" fillId="6" borderId="1" xfId="110" applyFont="1" applyFill="1" applyBorder="1" applyAlignment="1">
      <alignment horizontal="center" vertical="center"/>
    </xf>
    <xf numFmtId="164" fontId="12" fillId="6" borderId="2" xfId="112" applyNumberFormat="1" applyFont="1" applyFill="1" applyBorder="1" applyAlignment="1">
      <alignment horizontal="right" vertical="center"/>
    </xf>
    <xf numFmtId="0" fontId="8" fillId="6" borderId="3" xfId="110" applyNumberFormat="1" applyFont="1" applyFill="1" applyBorder="1" applyAlignment="1">
      <alignment horizontal="left" vertical="center"/>
    </xf>
    <xf numFmtId="164" fontId="8" fillId="6" borderId="4" xfId="112" applyNumberFormat="1" applyFont="1" applyFill="1" applyBorder="1" applyAlignment="1">
      <alignment horizontal="right" vertical="center"/>
    </xf>
    <xf numFmtId="0" fontId="7" fillId="6" borderId="3" xfId="110" applyFont="1" applyFill="1" applyBorder="1" applyAlignment="1">
      <alignment vertical="center"/>
    </xf>
    <xf numFmtId="0" fontId="8" fillId="6" borderId="5" xfId="110" applyNumberFormat="1" applyFont="1" applyFill="1" applyBorder="1" applyAlignment="1">
      <alignment horizontal="left" vertical="center"/>
    </xf>
    <xf numFmtId="9" fontId="8" fillId="6" borderId="6" xfId="111" applyFont="1" applyFill="1" applyBorder="1" applyAlignment="1">
      <alignment horizontal="right" vertical="center"/>
    </xf>
    <xf numFmtId="0" fontId="7" fillId="6" borderId="1" xfId="110" applyNumberFormat="1" applyFont="1" applyFill="1" applyBorder="1" applyAlignment="1">
      <alignment horizontal="center" vertical="center"/>
    </xf>
    <xf numFmtId="164" fontId="7" fillId="6" borderId="2" xfId="112" applyNumberFormat="1" applyFont="1" applyFill="1" applyBorder="1" applyAlignment="1">
      <alignment horizontal="right" vertical="center"/>
    </xf>
    <xf numFmtId="9" fontId="8" fillId="6" borderId="4" xfId="111" applyFont="1" applyFill="1" applyBorder="1" applyAlignment="1">
      <alignment horizontal="right" vertical="center"/>
    </xf>
    <xf numFmtId="0" fontId="6" fillId="6" borderId="0" xfId="110" applyNumberFormat="1" applyFont="1" applyFill="1" applyAlignment="1">
      <alignment horizontal="center" vertical="center"/>
    </xf>
    <xf numFmtId="164" fontId="6" fillId="6" borderId="0" xfId="112" applyNumberFormat="1" applyFont="1" applyFill="1" applyBorder="1" applyAlignment="1">
      <alignment horizontal="center" vertical="center"/>
    </xf>
    <xf numFmtId="0" fontId="8" fillId="6" borderId="0" xfId="110" applyNumberFormat="1" applyFont="1" applyFill="1" applyAlignment="1">
      <alignment horizontal="left" vertical="center"/>
    </xf>
    <xf numFmtId="38" fontId="6" fillId="6" borderId="0" xfId="112" applyNumberFormat="1" applyFont="1" applyFill="1" applyBorder="1" applyAlignment="1">
      <alignment horizontal="center" vertical="center" wrapText="1"/>
    </xf>
    <xf numFmtId="0" fontId="8" fillId="6" borderId="7" xfId="110" applyNumberFormat="1" applyFont="1" applyFill="1" applyBorder="1" applyAlignment="1">
      <alignment horizontal="left" vertical="center"/>
    </xf>
    <xf numFmtId="38" fontId="20" fillId="6" borderId="8" xfId="112" applyNumberFormat="1" applyFont="1" applyFill="1" applyBorder="1" applyAlignment="1">
      <alignment horizontal="center" vertical="center" wrapText="1"/>
    </xf>
    <xf numFmtId="0" fontId="8" fillId="6" borderId="10" xfId="110" applyNumberFormat="1" applyFont="1" applyFill="1" applyBorder="1" applyAlignment="1">
      <alignment horizontal="left" vertical="center"/>
    </xf>
    <xf numFmtId="38" fontId="20" fillId="6" borderId="0" xfId="112" applyNumberFormat="1" applyFont="1" applyFill="1" applyBorder="1" applyAlignment="1">
      <alignment horizontal="center" vertical="center" wrapText="1"/>
    </xf>
    <xf numFmtId="0" fontId="7" fillId="6" borderId="23" xfId="110" applyNumberFormat="1" applyFont="1" applyFill="1" applyBorder="1" applyAlignment="1">
      <alignment horizontal="center" vertical="center"/>
    </xf>
    <xf numFmtId="38" fontId="7" fillId="6" borderId="24" xfId="112" applyNumberFormat="1" applyFont="1" applyFill="1" applyBorder="1" applyAlignment="1">
      <alignment horizontal="center" vertical="center" wrapText="1"/>
    </xf>
    <xf numFmtId="38" fontId="33" fillId="6" borderId="20" xfId="112" applyNumberFormat="1" applyFont="1" applyFill="1" applyBorder="1" applyAlignment="1">
      <alignment horizontal="center" vertical="center" wrapText="1"/>
    </xf>
    <xf numFmtId="38" fontId="33" fillId="6" borderId="21" xfId="112" applyNumberFormat="1" applyFont="1" applyFill="1" applyBorder="1" applyAlignment="1">
      <alignment horizontal="center" vertical="center" wrapText="1"/>
    </xf>
    <xf numFmtId="0" fontId="8" fillId="6" borderId="0" xfId="110" applyNumberFormat="1" applyFont="1" applyFill="1" applyBorder="1" applyAlignment="1">
      <alignment horizontal="left" vertical="center"/>
    </xf>
    <xf numFmtId="38" fontId="33" fillId="6" borderId="22" xfId="112" applyNumberFormat="1" applyFont="1" applyFill="1" applyBorder="1" applyAlignment="1">
      <alignment horizontal="center" vertical="center" wrapText="1"/>
    </xf>
    <xf numFmtId="0" fontId="7" fillId="6" borderId="12" xfId="110" applyNumberFormat="1" applyFont="1" applyFill="1" applyBorder="1" applyAlignment="1">
      <alignment horizontal="left" vertical="center"/>
    </xf>
    <xf numFmtId="38" fontId="7" fillId="6" borderId="13" xfId="112" applyNumberFormat="1" applyFont="1" applyFill="1" applyBorder="1" applyAlignment="1">
      <alignment horizontal="center" vertical="center" wrapText="1"/>
    </xf>
    <xf numFmtId="38" fontId="8" fillId="6" borderId="0" xfId="112" applyNumberFormat="1" applyFont="1" applyFill="1" applyBorder="1" applyAlignment="1">
      <alignment horizontal="center" vertical="center" wrapText="1"/>
    </xf>
    <xf numFmtId="0" fontId="10" fillId="6" borderId="0" xfId="110" applyFill="1"/>
    <xf numFmtId="9" fontId="20" fillId="6" borderId="0" xfId="111" applyFont="1" applyFill="1" applyBorder="1" applyAlignment="1">
      <alignment horizontal="center" vertical="center" wrapText="1"/>
    </xf>
    <xf numFmtId="9" fontId="0" fillId="6" borderId="0" xfId="111" applyFont="1" applyFill="1"/>
    <xf numFmtId="38" fontId="8" fillId="6" borderId="0" xfId="110" applyNumberFormat="1" applyFont="1" applyFill="1" applyBorder="1" applyAlignment="1">
      <alignment horizontal="center" vertical="center" wrapText="1"/>
    </xf>
    <xf numFmtId="165" fontId="20" fillId="6" borderId="0" xfId="111" applyNumberFormat="1" applyFont="1" applyFill="1" applyBorder="1" applyAlignment="1">
      <alignment horizontal="center" vertical="center" wrapText="1"/>
    </xf>
    <xf numFmtId="9" fontId="36" fillId="6" borderId="0" xfId="111" applyFont="1" applyFill="1" applyBorder="1" applyAlignment="1">
      <alignment horizontal="center" vertical="center" wrapText="1"/>
    </xf>
    <xf numFmtId="0" fontId="6" fillId="0" borderId="0" xfId="110" applyFont="1" applyBorder="1" applyAlignment="1">
      <alignment horizontal="center" vertical="center" wrapText="1"/>
    </xf>
    <xf numFmtId="164" fontId="6" fillId="0" borderId="8" xfId="112" quotePrefix="1" applyNumberFormat="1" applyFont="1" applyFill="1" applyBorder="1" applyAlignment="1">
      <alignment horizontal="center" vertical="center" wrapText="1"/>
    </xf>
    <xf numFmtId="0" fontId="5" fillId="6" borderId="1" xfId="110" applyNumberFormat="1" applyFont="1" applyFill="1" applyBorder="1" applyAlignment="1">
      <alignment horizontal="center" vertical="center"/>
    </xf>
    <xf numFmtId="164" fontId="6" fillId="6" borderId="2" xfId="112" quotePrefix="1" applyNumberFormat="1" applyFont="1" applyFill="1" applyBorder="1" applyAlignment="1">
      <alignment horizontal="center" vertical="center" wrapText="1"/>
    </xf>
    <xf numFmtId="166" fontId="20" fillId="6" borderId="4" xfId="634" applyNumberFormat="1" applyFont="1" applyFill="1" applyBorder="1" applyAlignment="1">
      <alignment horizontal="right" vertical="center"/>
    </xf>
    <xf numFmtId="166" fontId="8" fillId="6" borderId="4" xfId="634" applyNumberFormat="1" applyFont="1" applyFill="1" applyBorder="1" applyAlignment="1">
      <alignment horizontal="right" vertical="center"/>
    </xf>
    <xf numFmtId="9" fontId="20" fillId="6" borderId="4" xfId="111" applyFont="1" applyFill="1" applyBorder="1" applyAlignment="1">
      <alignment horizontal="right" vertical="center"/>
    </xf>
    <xf numFmtId="9" fontId="33" fillId="6" borderId="4" xfId="111" applyFont="1" applyFill="1" applyBorder="1" applyAlignment="1">
      <alignment horizontal="right" vertical="center"/>
    </xf>
    <xf numFmtId="10" fontId="20" fillId="6" borderId="4" xfId="111" applyNumberFormat="1" applyFont="1" applyFill="1" applyBorder="1" applyAlignment="1">
      <alignment horizontal="right" vertical="center"/>
    </xf>
    <xf numFmtId="166" fontId="8" fillId="6" borderId="6" xfId="634" applyNumberFormat="1" applyFont="1" applyFill="1" applyBorder="1" applyAlignment="1">
      <alignment horizontal="right" vertical="center"/>
    </xf>
    <xf numFmtId="0" fontId="10" fillId="3" borderId="0" xfId="110" applyFill="1" applyBorder="1"/>
    <xf numFmtId="0" fontId="31" fillId="3" borderId="0" xfId="110" applyFont="1" applyFill="1" applyBorder="1"/>
    <xf numFmtId="164" fontId="11" fillId="3" borderId="0" xfId="112" applyNumberFormat="1" applyFont="1" applyFill="1" applyBorder="1" applyAlignment="1">
      <alignment vertical="center"/>
    </xf>
    <xf numFmtId="9" fontId="0" fillId="3" borderId="0" xfId="111" applyFont="1" applyFill="1" applyBorder="1"/>
    <xf numFmtId="3" fontId="10" fillId="3" borderId="0" xfId="110" applyNumberFormat="1" applyFill="1" applyBorder="1"/>
    <xf numFmtId="3" fontId="11" fillId="3" borderId="0" xfId="110" applyNumberFormat="1" applyFont="1" applyFill="1" applyBorder="1"/>
    <xf numFmtId="0" fontId="9" fillId="8" borderId="0" xfId="110" applyFont="1" applyFill="1" applyAlignment="1">
      <alignment horizontal="center"/>
    </xf>
    <xf numFmtId="0" fontId="5" fillId="0" borderId="1" xfId="110" applyFont="1" applyBorder="1" applyAlignment="1">
      <alignment horizontal="center"/>
    </xf>
    <xf numFmtId="0" fontId="10" fillId="0" borderId="3" xfId="110" applyFont="1" applyBorder="1"/>
    <xf numFmtId="164" fontId="0" fillId="0" borderId="4" xfId="112" applyNumberFormat="1" applyFont="1" applyFill="1" applyBorder="1"/>
    <xf numFmtId="0" fontId="10" fillId="0" borderId="18" xfId="110" applyFont="1" applyBorder="1"/>
    <xf numFmtId="164" fontId="0" fillId="0" borderId="19" xfId="112" applyNumberFormat="1" applyFont="1" applyFill="1" applyBorder="1"/>
    <xf numFmtId="0" fontId="5" fillId="0" borderId="5" xfId="110" applyFont="1" applyBorder="1"/>
    <xf numFmtId="164" fontId="5" fillId="0" borderId="6" xfId="112" applyNumberFormat="1" applyFont="1" applyFill="1" applyBorder="1"/>
    <xf numFmtId="164" fontId="0" fillId="0" borderId="2" xfId="112" applyNumberFormat="1" applyFont="1" applyFill="1" applyBorder="1"/>
    <xf numFmtId="0" fontId="10" fillId="0" borderId="3" xfId="110" applyBorder="1"/>
    <xf numFmtId="164" fontId="0" fillId="3" borderId="4" xfId="112" applyNumberFormat="1" applyFont="1" applyFill="1" applyBorder="1"/>
    <xf numFmtId="0" fontId="10" fillId="0" borderId="0" xfId="110" applyBorder="1"/>
    <xf numFmtId="164" fontId="0" fillId="0" borderId="0" xfId="112" applyNumberFormat="1" applyFont="1" applyFill="1" applyBorder="1"/>
    <xf numFmtId="0" fontId="5" fillId="0" borderId="15" xfId="110" applyFont="1" applyBorder="1"/>
    <xf numFmtId="164" fontId="5" fillId="0" borderId="17" xfId="112" applyNumberFormat="1" applyFont="1" applyFill="1" applyBorder="1"/>
    <xf numFmtId="0" fontId="9" fillId="11" borderId="0" xfId="0" applyFont="1" applyFill="1" applyAlignment="1">
      <alignment horizontal="center"/>
    </xf>
    <xf numFmtId="0" fontId="26" fillId="0" borderId="0" xfId="110" applyFont="1" applyAlignment="1">
      <alignment horizontal="center"/>
    </xf>
    <xf numFmtId="0" fontId="6" fillId="0" borderId="1" xfId="110" applyNumberFormat="1" applyFont="1" applyFill="1" applyBorder="1" applyAlignment="1">
      <alignment horizontal="center" wrapText="1"/>
    </xf>
    <xf numFmtId="164" fontId="12" fillId="0" borderId="2" xfId="112" applyNumberFormat="1" applyFont="1" applyFill="1" applyBorder="1"/>
    <xf numFmtId="0" fontId="12" fillId="0" borderId="3" xfId="110" applyNumberFormat="1" applyFont="1" applyFill="1" applyBorder="1" applyAlignment="1">
      <alignment wrapText="1"/>
    </xf>
    <xf numFmtId="164" fontId="15" fillId="0" borderId="4" xfId="112" applyNumberFormat="1" applyFont="1" applyFill="1" applyBorder="1"/>
    <xf numFmtId="0" fontId="28" fillId="0" borderId="3" xfId="110" applyNumberFormat="1" applyFont="1" applyFill="1" applyBorder="1" applyAlignment="1">
      <alignment wrapText="1"/>
    </xf>
    <xf numFmtId="164" fontId="28" fillId="0" borderId="4" xfId="112" applyNumberFormat="1" applyFont="1" applyFill="1" applyBorder="1"/>
    <xf numFmtId="0" fontId="12" fillId="0" borderId="5" xfId="110" applyFont="1" applyBorder="1"/>
    <xf numFmtId="164" fontId="12" fillId="0" borderId="6" xfId="112" applyNumberFormat="1" applyFont="1" applyFill="1" applyBorder="1"/>
    <xf numFmtId="10" fontId="26" fillId="0" borderId="1" xfId="110" applyNumberFormat="1" applyFont="1" applyFill="1" applyBorder="1" applyAlignment="1">
      <alignment horizontal="center" vertical="center"/>
    </xf>
    <xf numFmtId="10" fontId="26" fillId="0" borderId="3" xfId="110" applyNumberFormat="1" applyFont="1" applyFill="1" applyBorder="1" applyAlignment="1">
      <alignment horizontal="center" vertical="center"/>
    </xf>
    <xf numFmtId="0" fontId="12" fillId="0" borderId="3" xfId="110" applyFont="1" applyBorder="1"/>
    <xf numFmtId="164" fontId="14" fillId="0" borderId="4" xfId="112" applyNumberFormat="1" applyFont="1" applyFill="1" applyBorder="1"/>
    <xf numFmtId="43" fontId="12" fillId="0" borderId="4" xfId="112" applyNumberFormat="1" applyFont="1" applyFill="1" applyBorder="1"/>
    <xf numFmtId="164" fontId="15" fillId="0" borderId="4" xfId="112" applyNumberFormat="1" applyFont="1" applyBorder="1"/>
    <xf numFmtId="164" fontId="12" fillId="0" borderId="4" xfId="112" applyNumberFormat="1" applyFont="1" applyBorder="1"/>
    <xf numFmtId="0" fontId="29" fillId="0" borderId="5" xfId="110" applyFont="1" applyBorder="1"/>
    <xf numFmtId="164" fontId="29" fillId="0" borderId="6" xfId="112" applyNumberFormat="1" applyFont="1" applyFill="1" applyBorder="1"/>
    <xf numFmtId="0" fontId="10" fillId="0" borderId="15" xfId="110" applyBorder="1"/>
    <xf numFmtId="0" fontId="28" fillId="0" borderId="16" xfId="110" applyFont="1" applyBorder="1"/>
    <xf numFmtId="164" fontId="26" fillId="0" borderId="17" xfId="112" applyNumberFormat="1" applyFont="1" applyFill="1" applyBorder="1"/>
    <xf numFmtId="0" fontId="27" fillId="0" borderId="5" xfId="110" applyNumberFormat="1" applyFont="1" applyFill="1" applyBorder="1" applyAlignment="1">
      <alignment wrapText="1"/>
    </xf>
    <xf numFmtId="164" fontId="32" fillId="0" borderId="6" xfId="112" applyNumberFormat="1" applyFont="1" applyFill="1" applyBorder="1"/>
    <xf numFmtId="0" fontId="10" fillId="2" borderId="0" xfId="110" applyFill="1" applyAlignment="1">
      <alignment vertical="center"/>
    </xf>
    <xf numFmtId="38" fontId="42" fillId="0" borderId="4" xfId="112" applyNumberFormat="1" applyFont="1" applyFill="1" applyBorder="1" applyAlignment="1">
      <alignment vertical="center"/>
    </xf>
    <xf numFmtId="0" fontId="24" fillId="0" borderId="0" xfId="0" applyFont="1"/>
    <xf numFmtId="0" fontId="12" fillId="0" borderId="8" xfId="110" applyFont="1" applyBorder="1"/>
    <xf numFmtId="1" fontId="12" fillId="0" borderId="14" xfId="110" applyNumberFormat="1" applyFont="1" applyBorder="1"/>
    <xf numFmtId="0" fontId="12" fillId="0" borderId="8" xfId="110" applyFont="1" applyFill="1" applyBorder="1"/>
    <xf numFmtId="1" fontId="29" fillId="0" borderId="11" xfId="110" applyNumberFormat="1" applyFont="1" applyFill="1" applyBorder="1"/>
    <xf numFmtId="1" fontId="29" fillId="0" borderId="14" xfId="110" applyNumberFormat="1" applyFont="1" applyFill="1" applyBorder="1"/>
    <xf numFmtId="0" fontId="14" fillId="0" borderId="0" xfId="110" applyFont="1" applyFill="1"/>
    <xf numFmtId="1" fontId="43" fillId="0" borderId="11" xfId="110" applyNumberFormat="1" applyFont="1" applyBorder="1"/>
    <xf numFmtId="1" fontId="43" fillId="0" borderId="11" xfId="110" applyNumberFormat="1" applyFont="1" applyFill="1" applyBorder="1"/>
    <xf numFmtId="167" fontId="12" fillId="3" borderId="0" xfId="110" applyNumberFormat="1" applyFont="1" applyFill="1" applyBorder="1" applyAlignment="1">
      <alignment horizontal="left" vertical="center"/>
    </xf>
    <xf numFmtId="167" fontId="12" fillId="3" borderId="0" xfId="110" applyNumberFormat="1" applyFont="1" applyFill="1" applyBorder="1" applyAlignment="1">
      <alignment horizontal="left" vertical="center" wrapText="1"/>
    </xf>
    <xf numFmtId="166" fontId="6" fillId="3" borderId="7" xfId="110" applyNumberFormat="1" applyFont="1" applyFill="1" applyBorder="1" applyAlignment="1"/>
    <xf numFmtId="166" fontId="12" fillId="3" borderId="8" xfId="110" applyNumberFormat="1" applyFont="1" applyFill="1" applyBorder="1"/>
    <xf numFmtId="0" fontId="12" fillId="3" borderId="8" xfId="110" applyFont="1" applyFill="1" applyBorder="1"/>
    <xf numFmtId="0" fontId="12" fillId="3" borderId="9" xfId="110" applyFont="1" applyFill="1" applyBorder="1"/>
    <xf numFmtId="166" fontId="12" fillId="3" borderId="10" xfId="110" applyNumberFormat="1" applyFont="1" applyFill="1" applyBorder="1" applyAlignment="1"/>
    <xf numFmtId="166" fontId="12" fillId="3" borderId="0" xfId="110" applyNumberFormat="1" applyFont="1" applyFill="1" applyBorder="1"/>
    <xf numFmtId="0" fontId="12" fillId="3" borderId="11" xfId="110" applyFont="1" applyFill="1" applyBorder="1"/>
    <xf numFmtId="164" fontId="12" fillId="3" borderId="10" xfId="112" applyNumberFormat="1" applyFont="1" applyFill="1" applyBorder="1" applyAlignment="1"/>
    <xf numFmtId="0" fontId="12" fillId="3" borderId="0" xfId="110" applyFont="1" applyFill="1" applyBorder="1" applyAlignment="1">
      <alignment horizontal="right"/>
    </xf>
    <xf numFmtId="0" fontId="12" fillId="3" borderId="10" xfId="110" applyFont="1" applyFill="1" applyBorder="1" applyAlignment="1">
      <alignment horizontal="left"/>
    </xf>
    <xf numFmtId="164" fontId="12" fillId="3" borderId="12" xfId="112" applyNumberFormat="1" applyFont="1" applyFill="1" applyBorder="1" applyAlignment="1"/>
    <xf numFmtId="0" fontId="12" fillId="3" borderId="14" xfId="110" applyFont="1" applyFill="1" applyBorder="1"/>
    <xf numFmtId="0" fontId="6" fillId="0" borderId="5" xfId="110" applyNumberFormat="1" applyFont="1" applyFill="1" applyBorder="1" applyAlignment="1">
      <alignment vertical="center" wrapText="1"/>
    </xf>
    <xf numFmtId="0" fontId="12" fillId="0" borderId="5" xfId="110" applyNumberFormat="1" applyFont="1" applyFill="1" applyBorder="1" applyAlignment="1">
      <alignment wrapText="1"/>
    </xf>
    <xf numFmtId="43" fontId="12" fillId="0" borderId="6" xfId="112" applyNumberFormat="1" applyFont="1" applyFill="1" applyBorder="1"/>
    <xf numFmtId="164" fontId="27" fillId="0" borderId="6" xfId="112" applyNumberFormat="1" applyFont="1" applyFill="1" applyBorder="1"/>
    <xf numFmtId="0" fontId="6" fillId="0" borderId="15" xfId="110" applyNumberFormat="1" applyFont="1" applyFill="1" applyBorder="1" applyAlignment="1">
      <alignment horizontal="center" wrapText="1"/>
    </xf>
    <xf numFmtId="164" fontId="12" fillId="0" borderId="17" xfId="112" applyNumberFormat="1" applyFont="1" applyBorder="1"/>
    <xf numFmtId="164" fontId="12" fillId="0" borderId="17" xfId="112" applyNumberFormat="1" applyFont="1" applyFill="1" applyBorder="1"/>
    <xf numFmtId="0" fontId="28" fillId="0" borderId="15" xfId="110" applyFont="1" applyBorder="1"/>
    <xf numFmtId="164" fontId="28" fillId="0" borderId="17" xfId="112" applyNumberFormat="1" applyFont="1" applyFill="1" applyBorder="1"/>
    <xf numFmtId="0" fontId="6" fillId="0" borderId="5" xfId="110" applyNumberFormat="1" applyFont="1" applyFill="1" applyBorder="1" applyAlignment="1">
      <alignment wrapText="1"/>
    </xf>
    <xf numFmtId="0" fontId="19" fillId="3" borderId="0" xfId="110" applyFont="1" applyFill="1"/>
    <xf numFmtId="0" fontId="5" fillId="7" borderId="0" xfId="110" applyFont="1" applyFill="1" applyAlignment="1">
      <alignment horizontal="left"/>
    </xf>
    <xf numFmtId="1" fontId="29" fillId="0" borderId="11" xfId="110" applyNumberFormat="1" applyFont="1" applyBorder="1"/>
    <xf numFmtId="167" fontId="12" fillId="6" borderId="0" xfId="110" applyNumberFormat="1" applyFont="1" applyFill="1" applyBorder="1" applyAlignment="1">
      <alignment horizontal="left" vertical="center" wrapText="1"/>
    </xf>
    <xf numFmtId="1" fontId="43" fillId="3" borderId="11" xfId="110" applyNumberFormat="1" applyFont="1" applyFill="1" applyBorder="1"/>
    <xf numFmtId="1" fontId="29" fillId="3" borderId="11" xfId="110" applyNumberFormat="1" applyFont="1" applyFill="1" applyBorder="1"/>
    <xf numFmtId="1" fontId="29" fillId="0" borderId="9" xfId="110" applyNumberFormat="1" applyFont="1" applyBorder="1"/>
    <xf numFmtId="0" fontId="12" fillId="12" borderId="0" xfId="110" applyFont="1" applyFill="1" applyAlignment="1">
      <alignment horizontal="left"/>
    </xf>
    <xf numFmtId="167" fontId="12" fillId="12" borderId="0" xfId="110" applyNumberFormat="1" applyFont="1" applyFill="1" applyBorder="1" applyAlignment="1">
      <alignment horizontal="left" vertical="center" wrapText="1"/>
    </xf>
    <xf numFmtId="167" fontId="37" fillId="12" borderId="0" xfId="110" applyNumberFormat="1" applyFont="1" applyFill="1" applyBorder="1" applyAlignment="1">
      <alignment horizontal="left" vertical="center" wrapText="1"/>
    </xf>
    <xf numFmtId="1" fontId="29" fillId="0" borderId="9" xfId="110" applyNumberFormat="1" applyFont="1" applyFill="1" applyBorder="1"/>
    <xf numFmtId="1" fontId="10" fillId="0" borderId="9" xfId="110" applyNumberFormat="1" applyFont="1" applyBorder="1"/>
    <xf numFmtId="1" fontId="10" fillId="0" borderId="11" xfId="110" applyNumberFormat="1" applyFont="1" applyBorder="1"/>
    <xf numFmtId="1" fontId="44" fillId="0" borderId="11" xfId="110" applyNumberFormat="1" applyFont="1" applyFill="1" applyBorder="1"/>
    <xf numFmtId="166" fontId="20" fillId="3" borderId="4" xfId="634" applyNumberFormat="1" applyFont="1" applyFill="1" applyBorder="1" applyAlignment="1">
      <alignment horizontal="right" vertical="center"/>
    </xf>
    <xf numFmtId="0" fontId="11" fillId="0" borderId="0" xfId="110" applyFont="1" applyFill="1" applyAlignment="1">
      <alignment horizontal="left" vertical="center"/>
    </xf>
    <xf numFmtId="168" fontId="18" fillId="4" borderId="14" xfId="112" applyNumberFormat="1" applyFont="1" applyFill="1" applyBorder="1" applyAlignment="1">
      <alignment horizontal="right" vertical="center"/>
    </xf>
    <xf numFmtId="168" fontId="18" fillId="4" borderId="11" xfId="112" applyNumberFormat="1" applyFont="1" applyFill="1" applyBorder="1" applyAlignment="1">
      <alignment horizontal="right" vertical="center"/>
    </xf>
    <xf numFmtId="38" fontId="22" fillId="0" borderId="4" xfId="112" applyNumberFormat="1" applyFont="1" applyFill="1" applyBorder="1" applyAlignment="1">
      <alignment vertical="center"/>
    </xf>
    <xf numFmtId="165" fontId="22" fillId="0" borderId="4" xfId="111" applyNumberFormat="1" applyFont="1" applyFill="1" applyBorder="1" applyAlignment="1">
      <alignment vertical="center"/>
    </xf>
    <xf numFmtId="9" fontId="22" fillId="0" borderId="4" xfId="111" applyFont="1" applyFill="1" applyBorder="1" applyAlignment="1">
      <alignment vertical="center"/>
    </xf>
    <xf numFmtId="38" fontId="21" fillId="0" borderId="0" xfId="112" applyNumberFormat="1" applyFont="1" applyFill="1" applyBorder="1" applyAlignment="1">
      <alignment vertical="center"/>
    </xf>
    <xf numFmtId="43" fontId="22" fillId="0" borderId="4" xfId="112" applyFont="1" applyFill="1" applyBorder="1" applyAlignment="1">
      <alignment vertical="center"/>
    </xf>
    <xf numFmtId="9" fontId="8" fillId="6" borderId="4" xfId="1" applyFont="1" applyFill="1" applyBorder="1" applyAlignment="1">
      <alignment horizontal="right" vertical="center"/>
    </xf>
    <xf numFmtId="166" fontId="33" fillId="6" borderId="4" xfId="634" applyNumberFormat="1" applyFont="1" applyFill="1" applyBorder="1" applyAlignment="1">
      <alignment horizontal="right" vertical="center"/>
    </xf>
    <xf numFmtId="1" fontId="8" fillId="0" borderId="0" xfId="110" applyNumberFormat="1" applyFont="1" applyFill="1" applyAlignment="1">
      <alignment horizontal="left" vertical="top"/>
    </xf>
    <xf numFmtId="9" fontId="22" fillId="0" borderId="0" xfId="1" applyFont="1" applyFill="1" applyBorder="1" applyAlignment="1">
      <alignment horizontal="left" vertical="center"/>
    </xf>
    <xf numFmtId="9" fontId="8" fillId="0" borderId="4" xfId="1" applyFont="1" applyFill="1" applyBorder="1" applyAlignment="1">
      <alignment vertical="center"/>
    </xf>
    <xf numFmtId="0" fontId="8" fillId="3" borderId="0" xfId="110" applyFont="1" applyFill="1" applyAlignment="1">
      <alignment vertical="center" wrapText="1"/>
    </xf>
    <xf numFmtId="0" fontId="12" fillId="3" borderId="0" xfId="110" applyFont="1" applyFill="1" applyAlignment="1">
      <alignment wrapText="1"/>
    </xf>
    <xf numFmtId="0" fontId="10" fillId="3" borderId="0" xfId="110" applyFont="1" applyFill="1" applyAlignment="1">
      <alignment wrapText="1"/>
    </xf>
    <xf numFmtId="164" fontId="12" fillId="3" borderId="4" xfId="112" applyNumberFormat="1" applyFont="1" applyFill="1" applyBorder="1"/>
    <xf numFmtId="164" fontId="10" fillId="3" borderId="0" xfId="110" applyNumberFormat="1" applyFill="1"/>
    <xf numFmtId="0" fontId="12" fillId="3" borderId="12" xfId="110" applyFont="1" applyFill="1" applyBorder="1"/>
    <xf numFmtId="0" fontId="6" fillId="3" borderId="0" xfId="110" applyFont="1" applyFill="1" applyBorder="1" applyAlignment="1">
      <alignment horizontal="center" vertical="center"/>
    </xf>
    <xf numFmtId="0" fontId="12" fillId="3" borderId="10" xfId="110" applyFont="1" applyFill="1" applyBorder="1"/>
    <xf numFmtId="0" fontId="6" fillId="0" borderId="0" xfId="110" quotePrefix="1" applyFont="1" applyFill="1" applyBorder="1"/>
    <xf numFmtId="9" fontId="10" fillId="0" borderId="0" xfId="110" applyNumberFormat="1"/>
  </cellXfs>
  <cellStyles count="3180">
    <cellStyle name="Comma 2 2" xfId="112"/>
    <cellStyle name="Currency 2" xfId="63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1" builtinId="9" hidden="1"/>
    <cellStyle name="Followed Hyperlink" xfId="2613" builtinId="9" hidden="1"/>
    <cellStyle name="Followed Hyperlink" xfId="2615" builtinId="9" hidden="1"/>
    <cellStyle name="Followed Hyperlink" xfId="2617" builtinId="9" hidden="1"/>
    <cellStyle name="Followed Hyperlink" xfId="2619" builtinId="9" hidden="1"/>
    <cellStyle name="Followed Hyperlink" xfId="2621" builtinId="9" hidden="1"/>
    <cellStyle name="Followed Hyperlink" xfId="2623" builtinId="9" hidden="1"/>
    <cellStyle name="Followed Hyperlink" xfId="2625" builtinId="9" hidden="1"/>
    <cellStyle name="Followed Hyperlink" xfId="2627" builtinId="9" hidden="1"/>
    <cellStyle name="Followed Hyperlink" xfId="2629" builtinId="9" hidden="1"/>
    <cellStyle name="Followed Hyperlink" xfId="2631" builtinId="9" hidden="1"/>
    <cellStyle name="Followed Hyperlink" xfId="2633" builtinId="9" hidden="1"/>
    <cellStyle name="Followed Hyperlink" xfId="2635" builtinId="9" hidden="1"/>
    <cellStyle name="Followed Hyperlink" xfId="2637" builtinId="9" hidden="1"/>
    <cellStyle name="Followed Hyperlink" xfId="2639" builtinId="9" hidden="1"/>
    <cellStyle name="Followed Hyperlink" xfId="2641" builtinId="9" hidden="1"/>
    <cellStyle name="Followed Hyperlink" xfId="2643" builtinId="9" hidden="1"/>
    <cellStyle name="Followed Hyperlink" xfId="2645" builtinId="9" hidden="1"/>
    <cellStyle name="Followed Hyperlink" xfId="2647" builtinId="9" hidden="1"/>
    <cellStyle name="Followed Hyperlink" xfId="2649" builtinId="9" hidden="1"/>
    <cellStyle name="Followed Hyperlink" xfId="2651" builtinId="9" hidden="1"/>
    <cellStyle name="Followed Hyperlink" xfId="2653" builtinId="9" hidden="1"/>
    <cellStyle name="Followed Hyperlink" xfId="2655" builtinId="9" hidden="1"/>
    <cellStyle name="Followed Hyperlink" xfId="2657" builtinId="9" hidden="1"/>
    <cellStyle name="Followed Hyperlink" xfId="2659" builtinId="9" hidden="1"/>
    <cellStyle name="Followed Hyperlink" xfId="2661" builtinId="9" hidden="1"/>
    <cellStyle name="Followed Hyperlink" xfId="2663" builtinId="9" hidden="1"/>
    <cellStyle name="Followed Hyperlink" xfId="2665" builtinId="9" hidden="1"/>
    <cellStyle name="Followed Hyperlink" xfId="2667" builtinId="9" hidden="1"/>
    <cellStyle name="Followed Hyperlink" xfId="2669" builtinId="9" hidden="1"/>
    <cellStyle name="Followed Hyperlink" xfId="2671" builtinId="9" hidden="1"/>
    <cellStyle name="Followed Hyperlink" xfId="2673" builtinId="9" hidden="1"/>
    <cellStyle name="Followed Hyperlink" xfId="2675" builtinId="9" hidden="1"/>
    <cellStyle name="Followed Hyperlink" xfId="2677" builtinId="9" hidden="1"/>
    <cellStyle name="Followed Hyperlink" xfId="2679" builtinId="9" hidden="1"/>
    <cellStyle name="Followed Hyperlink" xfId="2681" builtinId="9" hidden="1"/>
    <cellStyle name="Followed Hyperlink" xfId="2683" builtinId="9" hidden="1"/>
    <cellStyle name="Followed Hyperlink" xfId="2685" builtinId="9" hidden="1"/>
    <cellStyle name="Followed Hyperlink" xfId="2687" builtinId="9" hidden="1"/>
    <cellStyle name="Followed Hyperlink" xfId="2689" builtinId="9" hidden="1"/>
    <cellStyle name="Followed Hyperlink" xfId="2691" builtinId="9" hidden="1"/>
    <cellStyle name="Followed Hyperlink" xfId="2693" builtinId="9" hidden="1"/>
    <cellStyle name="Followed Hyperlink" xfId="2695" builtinId="9" hidden="1"/>
    <cellStyle name="Followed Hyperlink" xfId="2697" builtinId="9" hidden="1"/>
    <cellStyle name="Followed Hyperlink" xfId="2699" builtinId="9" hidden="1"/>
    <cellStyle name="Followed Hyperlink" xfId="2701" builtinId="9" hidden="1"/>
    <cellStyle name="Followed Hyperlink" xfId="2703" builtinId="9" hidden="1"/>
    <cellStyle name="Followed Hyperlink" xfId="2705" builtinId="9" hidden="1"/>
    <cellStyle name="Followed Hyperlink" xfId="2707" builtinId="9" hidden="1"/>
    <cellStyle name="Followed Hyperlink" xfId="2709" builtinId="9" hidden="1"/>
    <cellStyle name="Followed Hyperlink" xfId="2711" builtinId="9" hidden="1"/>
    <cellStyle name="Followed Hyperlink" xfId="2713" builtinId="9" hidden="1"/>
    <cellStyle name="Followed Hyperlink" xfId="2715" builtinId="9" hidden="1"/>
    <cellStyle name="Followed Hyperlink" xfId="2717" builtinId="9" hidden="1"/>
    <cellStyle name="Followed Hyperlink" xfId="2719" builtinId="9" hidden="1"/>
    <cellStyle name="Followed Hyperlink" xfId="2721" builtinId="9" hidden="1"/>
    <cellStyle name="Followed Hyperlink" xfId="2723" builtinId="9" hidden="1"/>
    <cellStyle name="Followed Hyperlink" xfId="2725" builtinId="9" hidden="1"/>
    <cellStyle name="Followed Hyperlink" xfId="2727" builtinId="9" hidden="1"/>
    <cellStyle name="Followed Hyperlink" xfId="2729" builtinId="9" hidden="1"/>
    <cellStyle name="Followed Hyperlink" xfId="2731" builtinId="9" hidden="1"/>
    <cellStyle name="Followed Hyperlink" xfId="2733" builtinId="9" hidden="1"/>
    <cellStyle name="Followed Hyperlink" xfId="2735" builtinId="9" hidden="1"/>
    <cellStyle name="Followed Hyperlink" xfId="2737" builtinId="9" hidden="1"/>
    <cellStyle name="Followed Hyperlink" xfId="2739" builtinId="9" hidden="1"/>
    <cellStyle name="Followed Hyperlink" xfId="2741" builtinId="9" hidden="1"/>
    <cellStyle name="Followed Hyperlink" xfId="2743" builtinId="9" hidden="1"/>
    <cellStyle name="Followed Hyperlink" xfId="2745" builtinId="9" hidden="1"/>
    <cellStyle name="Followed Hyperlink" xfId="2747" builtinId="9" hidden="1"/>
    <cellStyle name="Followed Hyperlink" xfId="2749" builtinId="9" hidden="1"/>
    <cellStyle name="Followed Hyperlink" xfId="2751" builtinId="9" hidden="1"/>
    <cellStyle name="Followed Hyperlink" xfId="2753" builtinId="9" hidden="1"/>
    <cellStyle name="Followed Hyperlink" xfId="2755" builtinId="9" hidden="1"/>
    <cellStyle name="Followed Hyperlink" xfId="2757" builtinId="9" hidden="1"/>
    <cellStyle name="Followed Hyperlink" xfId="2759" builtinId="9" hidden="1"/>
    <cellStyle name="Followed Hyperlink" xfId="2761" builtinId="9" hidden="1"/>
    <cellStyle name="Followed Hyperlink" xfId="2763" builtinId="9" hidden="1"/>
    <cellStyle name="Followed Hyperlink" xfId="2765" builtinId="9" hidden="1"/>
    <cellStyle name="Followed Hyperlink" xfId="2767" builtinId="9" hidden="1"/>
    <cellStyle name="Followed Hyperlink" xfId="2769" builtinId="9" hidden="1"/>
    <cellStyle name="Followed Hyperlink" xfId="2771" builtinId="9" hidden="1"/>
    <cellStyle name="Followed Hyperlink" xfId="2773" builtinId="9" hidden="1"/>
    <cellStyle name="Followed Hyperlink" xfId="2775" builtinId="9" hidden="1"/>
    <cellStyle name="Followed Hyperlink" xfId="2777" builtinId="9" hidden="1"/>
    <cellStyle name="Followed Hyperlink" xfId="2779" builtinId="9" hidden="1"/>
    <cellStyle name="Followed Hyperlink" xfId="2781" builtinId="9" hidden="1"/>
    <cellStyle name="Followed Hyperlink" xfId="2783" builtinId="9" hidden="1"/>
    <cellStyle name="Followed Hyperlink" xfId="2785" builtinId="9" hidden="1"/>
    <cellStyle name="Followed Hyperlink" xfId="2787" builtinId="9" hidden="1"/>
    <cellStyle name="Followed Hyperlink" xfId="2789" builtinId="9" hidden="1"/>
    <cellStyle name="Followed Hyperlink" xfId="2791" builtinId="9" hidden="1"/>
    <cellStyle name="Followed Hyperlink" xfId="2793" builtinId="9" hidden="1"/>
    <cellStyle name="Followed Hyperlink" xfId="2795" builtinId="9" hidden="1"/>
    <cellStyle name="Followed Hyperlink" xfId="2797" builtinId="9" hidden="1"/>
    <cellStyle name="Followed Hyperlink" xfId="2799" builtinId="9" hidden="1"/>
    <cellStyle name="Followed Hyperlink" xfId="2801" builtinId="9" hidden="1"/>
    <cellStyle name="Followed Hyperlink" xfId="2803" builtinId="9" hidden="1"/>
    <cellStyle name="Followed Hyperlink" xfId="2805" builtinId="9" hidden="1"/>
    <cellStyle name="Followed Hyperlink" xfId="2807" builtinId="9" hidden="1"/>
    <cellStyle name="Followed Hyperlink" xfId="2809" builtinId="9" hidden="1"/>
    <cellStyle name="Followed Hyperlink" xfId="2811" builtinId="9" hidden="1"/>
    <cellStyle name="Followed Hyperlink" xfId="2813" builtinId="9" hidden="1"/>
    <cellStyle name="Followed Hyperlink" xfId="2815" builtinId="9" hidden="1"/>
    <cellStyle name="Followed Hyperlink" xfId="2817" builtinId="9" hidden="1"/>
    <cellStyle name="Followed Hyperlink" xfId="2819" builtinId="9" hidden="1"/>
    <cellStyle name="Followed Hyperlink" xfId="2821" builtinId="9" hidden="1"/>
    <cellStyle name="Followed Hyperlink" xfId="2823" builtinId="9" hidden="1"/>
    <cellStyle name="Followed Hyperlink" xfId="2825" builtinId="9" hidden="1"/>
    <cellStyle name="Followed Hyperlink" xfId="2827" builtinId="9" hidden="1"/>
    <cellStyle name="Followed Hyperlink" xfId="2829" builtinId="9" hidden="1"/>
    <cellStyle name="Followed Hyperlink" xfId="2831" builtinId="9" hidden="1"/>
    <cellStyle name="Followed Hyperlink" xfId="2833" builtinId="9" hidden="1"/>
    <cellStyle name="Followed Hyperlink" xfId="2835" builtinId="9" hidden="1"/>
    <cellStyle name="Followed Hyperlink" xfId="2837" builtinId="9" hidden="1"/>
    <cellStyle name="Followed Hyperlink" xfId="2839" builtinId="9" hidden="1"/>
    <cellStyle name="Followed Hyperlink" xfId="2841" builtinId="9" hidden="1"/>
    <cellStyle name="Followed Hyperlink" xfId="2843" builtinId="9" hidden="1"/>
    <cellStyle name="Followed Hyperlink" xfId="2845" builtinId="9" hidden="1"/>
    <cellStyle name="Followed Hyperlink" xfId="2847" builtinId="9" hidden="1"/>
    <cellStyle name="Followed Hyperlink" xfId="2849" builtinId="9" hidden="1"/>
    <cellStyle name="Followed Hyperlink" xfId="2851" builtinId="9" hidden="1"/>
    <cellStyle name="Followed Hyperlink" xfId="2853" builtinId="9" hidden="1"/>
    <cellStyle name="Followed Hyperlink" xfId="2855" builtinId="9" hidden="1"/>
    <cellStyle name="Followed Hyperlink" xfId="2857" builtinId="9" hidden="1"/>
    <cellStyle name="Followed Hyperlink" xfId="2859" builtinId="9" hidden="1"/>
    <cellStyle name="Followed Hyperlink" xfId="2861" builtinId="9" hidden="1"/>
    <cellStyle name="Followed Hyperlink" xfId="2863" builtinId="9" hidden="1"/>
    <cellStyle name="Followed Hyperlink" xfId="2865" builtinId="9" hidden="1"/>
    <cellStyle name="Followed Hyperlink" xfId="2867" builtinId="9" hidden="1"/>
    <cellStyle name="Followed Hyperlink" xfId="2869" builtinId="9" hidden="1"/>
    <cellStyle name="Followed Hyperlink" xfId="2871" builtinId="9" hidden="1"/>
    <cellStyle name="Followed Hyperlink" xfId="2873" builtinId="9" hidden="1"/>
    <cellStyle name="Followed Hyperlink" xfId="2875" builtinId="9" hidden="1"/>
    <cellStyle name="Followed Hyperlink" xfId="2877" builtinId="9" hidden="1"/>
    <cellStyle name="Followed Hyperlink" xfId="2879" builtinId="9" hidden="1"/>
    <cellStyle name="Followed Hyperlink" xfId="2881" builtinId="9" hidden="1"/>
    <cellStyle name="Followed Hyperlink" xfId="2883" builtinId="9" hidden="1"/>
    <cellStyle name="Followed Hyperlink" xfId="2885" builtinId="9" hidden="1"/>
    <cellStyle name="Followed Hyperlink" xfId="2887" builtinId="9" hidden="1"/>
    <cellStyle name="Followed Hyperlink" xfId="2889" builtinId="9" hidden="1"/>
    <cellStyle name="Followed Hyperlink" xfId="2891" builtinId="9" hidden="1"/>
    <cellStyle name="Followed Hyperlink" xfId="2893" builtinId="9" hidden="1"/>
    <cellStyle name="Followed Hyperlink" xfId="2895" builtinId="9" hidden="1"/>
    <cellStyle name="Followed Hyperlink" xfId="2897" builtinId="9" hidden="1"/>
    <cellStyle name="Followed Hyperlink" xfId="2899" builtinId="9" hidden="1"/>
    <cellStyle name="Followed Hyperlink" xfId="2901" builtinId="9" hidden="1"/>
    <cellStyle name="Followed Hyperlink" xfId="2903" builtinId="9" hidden="1"/>
    <cellStyle name="Followed Hyperlink" xfId="2905" builtinId="9" hidden="1"/>
    <cellStyle name="Followed Hyperlink" xfId="2907" builtinId="9" hidden="1"/>
    <cellStyle name="Followed Hyperlink" xfId="2909" builtinId="9" hidden="1"/>
    <cellStyle name="Followed Hyperlink" xfId="2911" builtinId="9" hidden="1"/>
    <cellStyle name="Followed Hyperlink" xfId="2913" builtinId="9" hidden="1"/>
    <cellStyle name="Followed Hyperlink" xfId="2915" builtinId="9" hidden="1"/>
    <cellStyle name="Followed Hyperlink" xfId="2917" builtinId="9" hidden="1"/>
    <cellStyle name="Followed Hyperlink" xfId="2919" builtinId="9" hidden="1"/>
    <cellStyle name="Followed Hyperlink" xfId="2921" builtinId="9" hidden="1"/>
    <cellStyle name="Followed Hyperlink" xfId="2923" builtinId="9" hidden="1"/>
    <cellStyle name="Followed Hyperlink" xfId="2925" builtinId="9" hidden="1"/>
    <cellStyle name="Followed Hyperlink" xfId="2927" builtinId="9" hidden="1"/>
    <cellStyle name="Followed Hyperlink" xfId="2929" builtinId="9" hidden="1"/>
    <cellStyle name="Followed Hyperlink" xfId="2931" builtinId="9" hidden="1"/>
    <cellStyle name="Followed Hyperlink" xfId="2933" builtinId="9" hidden="1"/>
    <cellStyle name="Followed Hyperlink" xfId="2935" builtinId="9" hidden="1"/>
    <cellStyle name="Followed Hyperlink" xfId="2937" builtinId="9" hidden="1"/>
    <cellStyle name="Followed Hyperlink" xfId="2939" builtinId="9" hidden="1"/>
    <cellStyle name="Followed Hyperlink" xfId="2941" builtinId="9" hidden="1"/>
    <cellStyle name="Followed Hyperlink" xfId="2943" builtinId="9" hidden="1"/>
    <cellStyle name="Followed Hyperlink" xfId="2945" builtinId="9" hidden="1"/>
    <cellStyle name="Followed Hyperlink" xfId="2947" builtinId="9" hidden="1"/>
    <cellStyle name="Followed Hyperlink" xfId="2949" builtinId="9" hidden="1"/>
    <cellStyle name="Followed Hyperlink" xfId="2951" builtinId="9" hidden="1"/>
    <cellStyle name="Followed Hyperlink" xfId="2953" builtinId="9" hidden="1"/>
    <cellStyle name="Followed Hyperlink" xfId="2955" builtinId="9" hidden="1"/>
    <cellStyle name="Followed Hyperlink" xfId="2957" builtinId="9" hidden="1"/>
    <cellStyle name="Followed Hyperlink" xfId="2959" builtinId="9" hidden="1"/>
    <cellStyle name="Followed Hyperlink" xfId="2961" builtinId="9" hidden="1"/>
    <cellStyle name="Followed Hyperlink" xfId="2963" builtinId="9" hidden="1"/>
    <cellStyle name="Followed Hyperlink" xfId="2965" builtinId="9" hidden="1"/>
    <cellStyle name="Followed Hyperlink" xfId="2967" builtinId="9" hidden="1"/>
    <cellStyle name="Followed Hyperlink" xfId="2969" builtinId="9" hidden="1"/>
    <cellStyle name="Followed Hyperlink" xfId="2971" builtinId="9" hidden="1"/>
    <cellStyle name="Followed Hyperlink" xfId="2973" builtinId="9" hidden="1"/>
    <cellStyle name="Followed Hyperlink" xfId="2975" builtinId="9" hidden="1"/>
    <cellStyle name="Followed Hyperlink" xfId="2977" builtinId="9" hidden="1"/>
    <cellStyle name="Followed Hyperlink" xfId="2979" builtinId="9" hidden="1"/>
    <cellStyle name="Followed Hyperlink" xfId="2981" builtinId="9" hidden="1"/>
    <cellStyle name="Followed Hyperlink" xfId="2983" builtinId="9" hidden="1"/>
    <cellStyle name="Followed Hyperlink" xfId="2985" builtinId="9" hidden="1"/>
    <cellStyle name="Followed Hyperlink" xfId="2987" builtinId="9" hidden="1"/>
    <cellStyle name="Followed Hyperlink" xfId="2989" builtinId="9" hidden="1"/>
    <cellStyle name="Followed Hyperlink" xfId="2991" builtinId="9" hidden="1"/>
    <cellStyle name="Followed Hyperlink" xfId="2993" builtinId="9" hidden="1"/>
    <cellStyle name="Followed Hyperlink" xfId="2995" builtinId="9" hidden="1"/>
    <cellStyle name="Followed Hyperlink" xfId="2997" builtinId="9" hidden="1"/>
    <cellStyle name="Followed Hyperlink" xfId="2999" builtinId="9" hidden="1"/>
    <cellStyle name="Followed Hyperlink" xfId="3001" builtinId="9" hidden="1"/>
    <cellStyle name="Followed Hyperlink" xfId="3003" builtinId="9" hidden="1"/>
    <cellStyle name="Followed Hyperlink" xfId="3005" builtinId="9" hidden="1"/>
    <cellStyle name="Followed Hyperlink" xfId="3007" builtinId="9" hidden="1"/>
    <cellStyle name="Followed Hyperlink" xfId="3009" builtinId="9" hidden="1"/>
    <cellStyle name="Followed Hyperlink" xfId="3011" builtinId="9" hidden="1"/>
    <cellStyle name="Followed Hyperlink" xfId="3013" builtinId="9" hidden="1"/>
    <cellStyle name="Followed Hyperlink" xfId="3015" builtinId="9" hidden="1"/>
    <cellStyle name="Followed Hyperlink" xfId="3017" builtinId="9" hidden="1"/>
    <cellStyle name="Followed Hyperlink" xfId="3019" builtinId="9" hidden="1"/>
    <cellStyle name="Followed Hyperlink" xfId="3021" builtinId="9" hidden="1"/>
    <cellStyle name="Followed Hyperlink" xfId="3023" builtinId="9" hidden="1"/>
    <cellStyle name="Followed Hyperlink" xfId="3025" builtinId="9" hidden="1"/>
    <cellStyle name="Followed Hyperlink" xfId="3027" builtinId="9" hidden="1"/>
    <cellStyle name="Followed Hyperlink" xfId="3029" builtinId="9" hidden="1"/>
    <cellStyle name="Followed Hyperlink" xfId="3031" builtinId="9" hidden="1"/>
    <cellStyle name="Followed Hyperlink" xfId="3033" builtinId="9" hidden="1"/>
    <cellStyle name="Followed Hyperlink" xfId="3035" builtinId="9" hidden="1"/>
    <cellStyle name="Followed Hyperlink" xfId="3037" builtinId="9" hidden="1"/>
    <cellStyle name="Followed Hyperlink" xfId="3039" builtinId="9" hidden="1"/>
    <cellStyle name="Followed Hyperlink" xfId="3041" builtinId="9" hidden="1"/>
    <cellStyle name="Followed Hyperlink" xfId="3043" builtinId="9" hidden="1"/>
    <cellStyle name="Followed Hyperlink" xfId="3045" builtinId="9" hidden="1"/>
    <cellStyle name="Followed Hyperlink" xfId="3047" builtinId="9" hidden="1"/>
    <cellStyle name="Followed Hyperlink" xfId="3049" builtinId="9" hidden="1"/>
    <cellStyle name="Followed Hyperlink" xfId="3051" builtinId="9" hidden="1"/>
    <cellStyle name="Followed Hyperlink" xfId="3053" builtinId="9" hidden="1"/>
    <cellStyle name="Followed Hyperlink" xfId="3055" builtinId="9" hidden="1"/>
    <cellStyle name="Followed Hyperlink" xfId="3057" builtinId="9" hidden="1"/>
    <cellStyle name="Followed Hyperlink" xfId="3059" builtinId="9" hidden="1"/>
    <cellStyle name="Followed Hyperlink" xfId="3061" builtinId="9" hidden="1"/>
    <cellStyle name="Followed Hyperlink" xfId="3063" builtinId="9" hidden="1"/>
    <cellStyle name="Followed Hyperlink" xfId="3065" builtinId="9" hidden="1"/>
    <cellStyle name="Followed Hyperlink" xfId="3067" builtinId="9" hidden="1"/>
    <cellStyle name="Followed Hyperlink" xfId="3069" builtinId="9" hidden="1"/>
    <cellStyle name="Followed Hyperlink" xfId="3071" builtinId="9" hidden="1"/>
    <cellStyle name="Followed Hyperlink" xfId="3073" builtinId="9" hidden="1"/>
    <cellStyle name="Followed Hyperlink" xfId="3075" builtinId="9" hidden="1"/>
    <cellStyle name="Followed Hyperlink" xfId="3077" builtinId="9" hidden="1"/>
    <cellStyle name="Followed Hyperlink" xfId="3079" builtinId="9" hidden="1"/>
    <cellStyle name="Followed Hyperlink" xfId="3081" builtinId="9" hidden="1"/>
    <cellStyle name="Followed Hyperlink" xfId="3083" builtinId="9" hidden="1"/>
    <cellStyle name="Followed Hyperlink" xfId="3085" builtinId="9" hidden="1"/>
    <cellStyle name="Followed Hyperlink" xfId="3087" builtinId="9" hidden="1"/>
    <cellStyle name="Followed Hyperlink" xfId="3089" builtinId="9" hidden="1"/>
    <cellStyle name="Followed Hyperlink" xfId="3091" builtinId="9" hidden="1"/>
    <cellStyle name="Followed Hyperlink" xfId="3093" builtinId="9" hidden="1"/>
    <cellStyle name="Followed Hyperlink" xfId="3095" builtinId="9" hidden="1"/>
    <cellStyle name="Followed Hyperlink" xfId="3097" builtinId="9" hidden="1"/>
    <cellStyle name="Followed Hyperlink" xfId="3099" builtinId="9" hidden="1"/>
    <cellStyle name="Followed Hyperlink" xfId="3101" builtinId="9" hidden="1"/>
    <cellStyle name="Followed Hyperlink" xfId="3103" builtinId="9" hidden="1"/>
    <cellStyle name="Followed Hyperlink" xfId="3105" builtinId="9" hidden="1"/>
    <cellStyle name="Followed Hyperlink" xfId="3107" builtinId="9" hidden="1"/>
    <cellStyle name="Followed Hyperlink" xfId="3109" builtinId="9" hidden="1"/>
    <cellStyle name="Followed Hyperlink" xfId="3111" builtinId="9" hidden="1"/>
    <cellStyle name="Followed Hyperlink" xfId="3113" builtinId="9" hidden="1"/>
    <cellStyle name="Followed Hyperlink" xfId="3115" builtinId="9" hidden="1"/>
    <cellStyle name="Followed Hyperlink" xfId="3117" builtinId="9" hidden="1"/>
    <cellStyle name="Followed Hyperlink" xfId="3119" builtinId="9" hidden="1"/>
    <cellStyle name="Followed Hyperlink" xfId="3121" builtinId="9" hidden="1"/>
    <cellStyle name="Followed Hyperlink" xfId="3123" builtinId="9" hidden="1"/>
    <cellStyle name="Followed Hyperlink" xfId="3125" builtinId="9" hidden="1"/>
    <cellStyle name="Followed Hyperlink" xfId="3127" builtinId="9" hidden="1"/>
    <cellStyle name="Followed Hyperlink" xfId="3129" builtinId="9" hidden="1"/>
    <cellStyle name="Followed Hyperlink" xfId="3131" builtinId="9" hidden="1"/>
    <cellStyle name="Followed Hyperlink" xfId="3133" builtinId="9" hidden="1"/>
    <cellStyle name="Followed Hyperlink" xfId="3135" builtinId="9" hidden="1"/>
    <cellStyle name="Followed Hyperlink" xfId="3137" builtinId="9" hidden="1"/>
    <cellStyle name="Followed Hyperlink" xfId="3139" builtinId="9" hidden="1"/>
    <cellStyle name="Followed Hyperlink" xfId="3141" builtinId="9" hidden="1"/>
    <cellStyle name="Followed Hyperlink" xfId="3143" builtinId="9" hidden="1"/>
    <cellStyle name="Followed Hyperlink" xfId="3145" builtinId="9" hidden="1"/>
    <cellStyle name="Followed Hyperlink" xfId="3147" builtinId="9" hidden="1"/>
    <cellStyle name="Followed Hyperlink" xfId="3149" builtinId="9" hidden="1"/>
    <cellStyle name="Followed Hyperlink" xfId="3151" builtinId="9" hidden="1"/>
    <cellStyle name="Followed Hyperlink" xfId="3153" builtinId="9" hidden="1"/>
    <cellStyle name="Followed Hyperlink" xfId="3155" builtinId="9" hidden="1"/>
    <cellStyle name="Followed Hyperlink" xfId="3157" builtinId="9" hidden="1"/>
    <cellStyle name="Followed Hyperlink" xfId="3159" builtinId="9" hidden="1"/>
    <cellStyle name="Followed Hyperlink" xfId="3161" builtinId="9" hidden="1"/>
    <cellStyle name="Followed Hyperlink" xfId="3163" builtinId="9" hidden="1"/>
    <cellStyle name="Followed Hyperlink" xfId="3165" builtinId="9" hidden="1"/>
    <cellStyle name="Followed Hyperlink" xfId="3167" builtinId="9" hidden="1"/>
    <cellStyle name="Followed Hyperlink" xfId="3169" builtinId="9" hidden="1"/>
    <cellStyle name="Followed Hyperlink" xfId="3171" builtinId="9" hidden="1"/>
    <cellStyle name="Followed Hyperlink" xfId="3173" builtinId="9" hidden="1"/>
    <cellStyle name="Followed Hyperlink" xfId="3175" builtinId="9" hidden="1"/>
    <cellStyle name="Followed Hyperlink" xfId="3177" builtinId="9" hidden="1"/>
    <cellStyle name="Followed Hyperlink" xfId="31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0" builtinId="8" hidden="1"/>
    <cellStyle name="Hyperlink" xfId="2612" builtinId="8" hidden="1"/>
    <cellStyle name="Hyperlink" xfId="2614" builtinId="8" hidden="1"/>
    <cellStyle name="Hyperlink" xfId="2616" builtinId="8" hidden="1"/>
    <cellStyle name="Hyperlink" xfId="2618" builtinId="8" hidden="1"/>
    <cellStyle name="Hyperlink" xfId="2620" builtinId="8" hidden="1"/>
    <cellStyle name="Hyperlink" xfId="2622" builtinId="8" hidden="1"/>
    <cellStyle name="Hyperlink" xfId="2624" builtinId="8" hidden="1"/>
    <cellStyle name="Hyperlink" xfId="2626" builtinId="8" hidden="1"/>
    <cellStyle name="Hyperlink" xfId="2628" builtinId="8" hidden="1"/>
    <cellStyle name="Hyperlink" xfId="2630" builtinId="8" hidden="1"/>
    <cellStyle name="Hyperlink" xfId="2632" builtinId="8" hidden="1"/>
    <cellStyle name="Hyperlink" xfId="2634" builtinId="8" hidden="1"/>
    <cellStyle name="Hyperlink" xfId="2636" builtinId="8" hidden="1"/>
    <cellStyle name="Hyperlink" xfId="2638" builtinId="8" hidden="1"/>
    <cellStyle name="Hyperlink" xfId="2640" builtinId="8" hidden="1"/>
    <cellStyle name="Hyperlink" xfId="2642" builtinId="8" hidden="1"/>
    <cellStyle name="Hyperlink" xfId="2644" builtinId="8" hidden="1"/>
    <cellStyle name="Hyperlink" xfId="2646" builtinId="8" hidden="1"/>
    <cellStyle name="Hyperlink" xfId="2648" builtinId="8" hidden="1"/>
    <cellStyle name="Hyperlink" xfId="2650" builtinId="8" hidden="1"/>
    <cellStyle name="Hyperlink" xfId="2652" builtinId="8" hidden="1"/>
    <cellStyle name="Hyperlink" xfId="2654" builtinId="8" hidden="1"/>
    <cellStyle name="Hyperlink" xfId="2656" builtinId="8" hidden="1"/>
    <cellStyle name="Hyperlink" xfId="2658" builtinId="8" hidden="1"/>
    <cellStyle name="Hyperlink" xfId="2660" builtinId="8" hidden="1"/>
    <cellStyle name="Hyperlink" xfId="2662" builtinId="8" hidden="1"/>
    <cellStyle name="Hyperlink" xfId="2664" builtinId="8" hidden="1"/>
    <cellStyle name="Hyperlink" xfId="2666" builtinId="8" hidden="1"/>
    <cellStyle name="Hyperlink" xfId="2668" builtinId="8" hidden="1"/>
    <cellStyle name="Hyperlink" xfId="2670" builtinId="8" hidden="1"/>
    <cellStyle name="Hyperlink" xfId="2672" builtinId="8" hidden="1"/>
    <cellStyle name="Hyperlink" xfId="2674" builtinId="8" hidden="1"/>
    <cellStyle name="Hyperlink" xfId="2676" builtinId="8" hidden="1"/>
    <cellStyle name="Hyperlink" xfId="2678" builtinId="8" hidden="1"/>
    <cellStyle name="Hyperlink" xfId="2680" builtinId="8" hidden="1"/>
    <cellStyle name="Hyperlink" xfId="2682" builtinId="8" hidden="1"/>
    <cellStyle name="Hyperlink" xfId="2684" builtinId="8" hidden="1"/>
    <cellStyle name="Hyperlink" xfId="2686" builtinId="8" hidden="1"/>
    <cellStyle name="Hyperlink" xfId="2688" builtinId="8" hidden="1"/>
    <cellStyle name="Hyperlink" xfId="2690" builtinId="8" hidden="1"/>
    <cellStyle name="Hyperlink" xfId="2692" builtinId="8" hidden="1"/>
    <cellStyle name="Hyperlink" xfId="2694" builtinId="8" hidden="1"/>
    <cellStyle name="Hyperlink" xfId="2696" builtinId="8" hidden="1"/>
    <cellStyle name="Hyperlink" xfId="2698" builtinId="8" hidden="1"/>
    <cellStyle name="Hyperlink" xfId="2700" builtinId="8" hidden="1"/>
    <cellStyle name="Hyperlink" xfId="2702" builtinId="8" hidden="1"/>
    <cellStyle name="Hyperlink" xfId="2704" builtinId="8" hidden="1"/>
    <cellStyle name="Hyperlink" xfId="2706" builtinId="8" hidden="1"/>
    <cellStyle name="Hyperlink" xfId="2708" builtinId="8" hidden="1"/>
    <cellStyle name="Hyperlink" xfId="2710" builtinId="8" hidden="1"/>
    <cellStyle name="Hyperlink" xfId="2712" builtinId="8" hidden="1"/>
    <cellStyle name="Hyperlink" xfId="2714" builtinId="8" hidden="1"/>
    <cellStyle name="Hyperlink" xfId="2716" builtinId="8" hidden="1"/>
    <cellStyle name="Hyperlink" xfId="2718" builtinId="8" hidden="1"/>
    <cellStyle name="Hyperlink" xfId="2720" builtinId="8" hidden="1"/>
    <cellStyle name="Hyperlink" xfId="2722" builtinId="8" hidden="1"/>
    <cellStyle name="Hyperlink" xfId="2724" builtinId="8" hidden="1"/>
    <cellStyle name="Hyperlink" xfId="2726" builtinId="8" hidden="1"/>
    <cellStyle name="Hyperlink" xfId="2728" builtinId="8" hidden="1"/>
    <cellStyle name="Hyperlink" xfId="2730" builtinId="8" hidden="1"/>
    <cellStyle name="Hyperlink" xfId="2732" builtinId="8" hidden="1"/>
    <cellStyle name="Hyperlink" xfId="2734" builtinId="8" hidden="1"/>
    <cellStyle name="Hyperlink" xfId="2736" builtinId="8" hidden="1"/>
    <cellStyle name="Hyperlink" xfId="2738" builtinId="8" hidden="1"/>
    <cellStyle name="Hyperlink" xfId="2740" builtinId="8" hidden="1"/>
    <cellStyle name="Hyperlink" xfId="2742" builtinId="8" hidden="1"/>
    <cellStyle name="Hyperlink" xfId="2744" builtinId="8" hidden="1"/>
    <cellStyle name="Hyperlink" xfId="2746" builtinId="8" hidden="1"/>
    <cellStyle name="Hyperlink" xfId="2748" builtinId="8" hidden="1"/>
    <cellStyle name="Hyperlink" xfId="2750" builtinId="8" hidden="1"/>
    <cellStyle name="Hyperlink" xfId="2752" builtinId="8" hidden="1"/>
    <cellStyle name="Hyperlink" xfId="2754" builtinId="8" hidden="1"/>
    <cellStyle name="Hyperlink" xfId="2756" builtinId="8" hidden="1"/>
    <cellStyle name="Hyperlink" xfId="2758" builtinId="8" hidden="1"/>
    <cellStyle name="Hyperlink" xfId="2760" builtinId="8" hidden="1"/>
    <cellStyle name="Hyperlink" xfId="2762" builtinId="8" hidden="1"/>
    <cellStyle name="Hyperlink" xfId="2764" builtinId="8" hidden="1"/>
    <cellStyle name="Hyperlink" xfId="2766" builtinId="8" hidden="1"/>
    <cellStyle name="Hyperlink" xfId="2768" builtinId="8" hidden="1"/>
    <cellStyle name="Hyperlink" xfId="2770" builtinId="8" hidden="1"/>
    <cellStyle name="Hyperlink" xfId="2772" builtinId="8" hidden="1"/>
    <cellStyle name="Hyperlink" xfId="2774" builtinId="8" hidden="1"/>
    <cellStyle name="Hyperlink" xfId="2776" builtinId="8" hidden="1"/>
    <cellStyle name="Hyperlink" xfId="2778" builtinId="8" hidden="1"/>
    <cellStyle name="Hyperlink" xfId="2780" builtinId="8" hidden="1"/>
    <cellStyle name="Hyperlink" xfId="2782" builtinId="8" hidden="1"/>
    <cellStyle name="Hyperlink" xfId="2784" builtinId="8" hidden="1"/>
    <cellStyle name="Hyperlink" xfId="2786" builtinId="8" hidden="1"/>
    <cellStyle name="Hyperlink" xfId="2788" builtinId="8" hidden="1"/>
    <cellStyle name="Hyperlink" xfId="2790" builtinId="8" hidden="1"/>
    <cellStyle name="Hyperlink" xfId="2792" builtinId="8" hidden="1"/>
    <cellStyle name="Hyperlink" xfId="2794" builtinId="8" hidden="1"/>
    <cellStyle name="Hyperlink" xfId="2796" builtinId="8" hidden="1"/>
    <cellStyle name="Hyperlink" xfId="2798" builtinId="8" hidden="1"/>
    <cellStyle name="Hyperlink" xfId="2800" builtinId="8" hidden="1"/>
    <cellStyle name="Hyperlink" xfId="2802" builtinId="8" hidden="1"/>
    <cellStyle name="Hyperlink" xfId="2804" builtinId="8" hidden="1"/>
    <cellStyle name="Hyperlink" xfId="2806" builtinId="8" hidden="1"/>
    <cellStyle name="Hyperlink" xfId="2808" builtinId="8" hidden="1"/>
    <cellStyle name="Hyperlink" xfId="2810" builtinId="8" hidden="1"/>
    <cellStyle name="Hyperlink" xfId="2812" builtinId="8" hidden="1"/>
    <cellStyle name="Hyperlink" xfId="2814" builtinId="8" hidden="1"/>
    <cellStyle name="Hyperlink" xfId="2816" builtinId="8" hidden="1"/>
    <cellStyle name="Hyperlink" xfId="2818" builtinId="8" hidden="1"/>
    <cellStyle name="Hyperlink" xfId="2820" builtinId="8" hidden="1"/>
    <cellStyle name="Hyperlink" xfId="2822" builtinId="8" hidden="1"/>
    <cellStyle name="Hyperlink" xfId="2824" builtinId="8" hidden="1"/>
    <cellStyle name="Hyperlink" xfId="2826" builtinId="8" hidden="1"/>
    <cellStyle name="Hyperlink" xfId="2828" builtinId="8" hidden="1"/>
    <cellStyle name="Hyperlink" xfId="2830" builtinId="8" hidden="1"/>
    <cellStyle name="Hyperlink" xfId="2832" builtinId="8" hidden="1"/>
    <cellStyle name="Hyperlink" xfId="2834" builtinId="8" hidden="1"/>
    <cellStyle name="Hyperlink" xfId="2836" builtinId="8" hidden="1"/>
    <cellStyle name="Hyperlink" xfId="2838" builtinId="8" hidden="1"/>
    <cellStyle name="Hyperlink" xfId="2840" builtinId="8" hidden="1"/>
    <cellStyle name="Hyperlink" xfId="2842" builtinId="8" hidden="1"/>
    <cellStyle name="Hyperlink" xfId="2844" builtinId="8" hidden="1"/>
    <cellStyle name="Hyperlink" xfId="2846" builtinId="8" hidden="1"/>
    <cellStyle name="Hyperlink" xfId="2848" builtinId="8" hidden="1"/>
    <cellStyle name="Hyperlink" xfId="2850" builtinId="8" hidden="1"/>
    <cellStyle name="Hyperlink" xfId="2852" builtinId="8" hidden="1"/>
    <cellStyle name="Hyperlink" xfId="2854" builtinId="8" hidden="1"/>
    <cellStyle name="Hyperlink" xfId="2856" builtinId="8" hidden="1"/>
    <cellStyle name="Hyperlink" xfId="2858" builtinId="8" hidden="1"/>
    <cellStyle name="Hyperlink" xfId="2860" builtinId="8" hidden="1"/>
    <cellStyle name="Hyperlink" xfId="2862" builtinId="8" hidden="1"/>
    <cellStyle name="Hyperlink" xfId="2864" builtinId="8" hidden="1"/>
    <cellStyle name="Hyperlink" xfId="2866" builtinId="8" hidden="1"/>
    <cellStyle name="Hyperlink" xfId="2868" builtinId="8" hidden="1"/>
    <cellStyle name="Hyperlink" xfId="2870" builtinId="8" hidden="1"/>
    <cellStyle name="Hyperlink" xfId="2872" builtinId="8" hidden="1"/>
    <cellStyle name="Hyperlink" xfId="2874" builtinId="8" hidden="1"/>
    <cellStyle name="Hyperlink" xfId="2876" builtinId="8" hidden="1"/>
    <cellStyle name="Hyperlink" xfId="2878" builtinId="8" hidden="1"/>
    <cellStyle name="Hyperlink" xfId="2880" builtinId="8" hidden="1"/>
    <cellStyle name="Hyperlink" xfId="2882" builtinId="8" hidden="1"/>
    <cellStyle name="Hyperlink" xfId="2884" builtinId="8" hidden="1"/>
    <cellStyle name="Hyperlink" xfId="2886" builtinId="8" hidden="1"/>
    <cellStyle name="Hyperlink" xfId="2888" builtinId="8" hidden="1"/>
    <cellStyle name="Hyperlink" xfId="2890" builtinId="8" hidden="1"/>
    <cellStyle name="Hyperlink" xfId="2892" builtinId="8" hidden="1"/>
    <cellStyle name="Hyperlink" xfId="2894" builtinId="8" hidden="1"/>
    <cellStyle name="Hyperlink" xfId="2896" builtinId="8" hidden="1"/>
    <cellStyle name="Hyperlink" xfId="2898" builtinId="8" hidden="1"/>
    <cellStyle name="Hyperlink" xfId="2900" builtinId="8" hidden="1"/>
    <cellStyle name="Hyperlink" xfId="2902" builtinId="8" hidden="1"/>
    <cellStyle name="Hyperlink" xfId="2904" builtinId="8" hidden="1"/>
    <cellStyle name="Hyperlink" xfId="2906" builtinId="8" hidden="1"/>
    <cellStyle name="Hyperlink" xfId="2908" builtinId="8" hidden="1"/>
    <cellStyle name="Hyperlink" xfId="2910" builtinId="8" hidden="1"/>
    <cellStyle name="Hyperlink" xfId="2912" builtinId="8" hidden="1"/>
    <cellStyle name="Hyperlink" xfId="2914" builtinId="8" hidden="1"/>
    <cellStyle name="Hyperlink" xfId="2916" builtinId="8" hidden="1"/>
    <cellStyle name="Hyperlink" xfId="2918" builtinId="8" hidden="1"/>
    <cellStyle name="Hyperlink" xfId="2920" builtinId="8" hidden="1"/>
    <cellStyle name="Hyperlink" xfId="2922" builtinId="8" hidden="1"/>
    <cellStyle name="Hyperlink" xfId="2924" builtinId="8" hidden="1"/>
    <cellStyle name="Hyperlink" xfId="2926" builtinId="8" hidden="1"/>
    <cellStyle name="Hyperlink" xfId="2928" builtinId="8" hidden="1"/>
    <cellStyle name="Hyperlink" xfId="2930" builtinId="8" hidden="1"/>
    <cellStyle name="Hyperlink" xfId="2932" builtinId="8" hidden="1"/>
    <cellStyle name="Hyperlink" xfId="2934" builtinId="8" hidden="1"/>
    <cellStyle name="Hyperlink" xfId="2936" builtinId="8" hidden="1"/>
    <cellStyle name="Hyperlink" xfId="2938" builtinId="8" hidden="1"/>
    <cellStyle name="Hyperlink" xfId="2940" builtinId="8" hidden="1"/>
    <cellStyle name="Hyperlink" xfId="2942" builtinId="8" hidden="1"/>
    <cellStyle name="Hyperlink" xfId="2944" builtinId="8" hidden="1"/>
    <cellStyle name="Hyperlink" xfId="2946" builtinId="8" hidden="1"/>
    <cellStyle name="Hyperlink" xfId="2948" builtinId="8" hidden="1"/>
    <cellStyle name="Hyperlink" xfId="2950" builtinId="8" hidden="1"/>
    <cellStyle name="Hyperlink" xfId="2952" builtinId="8" hidden="1"/>
    <cellStyle name="Hyperlink" xfId="2954" builtinId="8" hidden="1"/>
    <cellStyle name="Hyperlink" xfId="2956" builtinId="8" hidden="1"/>
    <cellStyle name="Hyperlink" xfId="2958" builtinId="8" hidden="1"/>
    <cellStyle name="Hyperlink" xfId="2960" builtinId="8" hidden="1"/>
    <cellStyle name="Hyperlink" xfId="2962" builtinId="8" hidden="1"/>
    <cellStyle name="Hyperlink" xfId="2964" builtinId="8" hidden="1"/>
    <cellStyle name="Hyperlink" xfId="2966" builtinId="8" hidden="1"/>
    <cellStyle name="Hyperlink" xfId="2968" builtinId="8" hidden="1"/>
    <cellStyle name="Hyperlink" xfId="2970" builtinId="8" hidden="1"/>
    <cellStyle name="Hyperlink" xfId="2972" builtinId="8" hidden="1"/>
    <cellStyle name="Hyperlink" xfId="2974" builtinId="8" hidden="1"/>
    <cellStyle name="Hyperlink" xfId="2976" builtinId="8" hidden="1"/>
    <cellStyle name="Hyperlink" xfId="2978" builtinId="8" hidden="1"/>
    <cellStyle name="Hyperlink" xfId="2980" builtinId="8" hidden="1"/>
    <cellStyle name="Hyperlink" xfId="2982" builtinId="8" hidden="1"/>
    <cellStyle name="Hyperlink" xfId="2984" builtinId="8" hidden="1"/>
    <cellStyle name="Hyperlink" xfId="2986" builtinId="8" hidden="1"/>
    <cellStyle name="Hyperlink" xfId="2988" builtinId="8" hidden="1"/>
    <cellStyle name="Hyperlink" xfId="2990" builtinId="8" hidden="1"/>
    <cellStyle name="Hyperlink" xfId="2992" builtinId="8" hidden="1"/>
    <cellStyle name="Hyperlink" xfId="2994" builtinId="8" hidden="1"/>
    <cellStyle name="Hyperlink" xfId="2996" builtinId="8" hidden="1"/>
    <cellStyle name="Hyperlink" xfId="2998" builtinId="8" hidden="1"/>
    <cellStyle name="Hyperlink" xfId="3000" builtinId="8" hidden="1"/>
    <cellStyle name="Hyperlink" xfId="3002" builtinId="8" hidden="1"/>
    <cellStyle name="Hyperlink" xfId="3004" builtinId="8" hidden="1"/>
    <cellStyle name="Hyperlink" xfId="3006" builtinId="8" hidden="1"/>
    <cellStyle name="Hyperlink" xfId="3008" builtinId="8" hidden="1"/>
    <cellStyle name="Hyperlink" xfId="3010" builtinId="8" hidden="1"/>
    <cellStyle name="Hyperlink" xfId="3012" builtinId="8" hidden="1"/>
    <cellStyle name="Hyperlink" xfId="3014" builtinId="8" hidden="1"/>
    <cellStyle name="Hyperlink" xfId="3016" builtinId="8" hidden="1"/>
    <cellStyle name="Hyperlink" xfId="3018" builtinId="8" hidden="1"/>
    <cellStyle name="Hyperlink" xfId="3020" builtinId="8" hidden="1"/>
    <cellStyle name="Hyperlink" xfId="3022" builtinId="8" hidden="1"/>
    <cellStyle name="Hyperlink" xfId="3024" builtinId="8" hidden="1"/>
    <cellStyle name="Hyperlink" xfId="3026" builtinId="8" hidden="1"/>
    <cellStyle name="Hyperlink" xfId="3028" builtinId="8" hidden="1"/>
    <cellStyle name="Hyperlink" xfId="3030" builtinId="8" hidden="1"/>
    <cellStyle name="Hyperlink" xfId="3032" builtinId="8" hidden="1"/>
    <cellStyle name="Hyperlink" xfId="3034" builtinId="8" hidden="1"/>
    <cellStyle name="Hyperlink" xfId="3036" builtinId="8" hidden="1"/>
    <cellStyle name="Hyperlink" xfId="3038" builtinId="8" hidden="1"/>
    <cellStyle name="Hyperlink" xfId="3040" builtinId="8" hidden="1"/>
    <cellStyle name="Hyperlink" xfId="3042" builtinId="8" hidden="1"/>
    <cellStyle name="Hyperlink" xfId="3044" builtinId="8" hidden="1"/>
    <cellStyle name="Hyperlink" xfId="3046" builtinId="8" hidden="1"/>
    <cellStyle name="Hyperlink" xfId="3048" builtinId="8" hidden="1"/>
    <cellStyle name="Hyperlink" xfId="3050" builtinId="8" hidden="1"/>
    <cellStyle name="Hyperlink" xfId="3052" builtinId="8" hidden="1"/>
    <cellStyle name="Hyperlink" xfId="3054" builtinId="8" hidden="1"/>
    <cellStyle name="Hyperlink" xfId="3056" builtinId="8" hidden="1"/>
    <cellStyle name="Hyperlink" xfId="3058" builtinId="8" hidden="1"/>
    <cellStyle name="Hyperlink" xfId="3060" builtinId="8" hidden="1"/>
    <cellStyle name="Hyperlink" xfId="3062" builtinId="8" hidden="1"/>
    <cellStyle name="Hyperlink" xfId="3064" builtinId="8" hidden="1"/>
    <cellStyle name="Hyperlink" xfId="3066" builtinId="8" hidden="1"/>
    <cellStyle name="Hyperlink" xfId="3068" builtinId="8" hidden="1"/>
    <cellStyle name="Hyperlink" xfId="3070" builtinId="8" hidden="1"/>
    <cellStyle name="Hyperlink" xfId="3072" builtinId="8" hidden="1"/>
    <cellStyle name="Hyperlink" xfId="3074" builtinId="8" hidden="1"/>
    <cellStyle name="Hyperlink" xfId="3076" builtinId="8" hidden="1"/>
    <cellStyle name="Hyperlink" xfId="3078" builtinId="8" hidden="1"/>
    <cellStyle name="Hyperlink" xfId="3080" builtinId="8" hidden="1"/>
    <cellStyle name="Hyperlink" xfId="3082" builtinId="8" hidden="1"/>
    <cellStyle name="Hyperlink" xfId="3084" builtinId="8" hidden="1"/>
    <cellStyle name="Hyperlink" xfId="3086" builtinId="8" hidden="1"/>
    <cellStyle name="Hyperlink" xfId="3088" builtinId="8" hidden="1"/>
    <cellStyle name="Hyperlink" xfId="3090" builtinId="8" hidden="1"/>
    <cellStyle name="Hyperlink" xfId="3092" builtinId="8" hidden="1"/>
    <cellStyle name="Hyperlink" xfId="3094" builtinId="8" hidden="1"/>
    <cellStyle name="Hyperlink" xfId="3096" builtinId="8" hidden="1"/>
    <cellStyle name="Hyperlink" xfId="3098" builtinId="8" hidden="1"/>
    <cellStyle name="Hyperlink" xfId="3100" builtinId="8" hidden="1"/>
    <cellStyle name="Hyperlink" xfId="3102" builtinId="8" hidden="1"/>
    <cellStyle name="Hyperlink" xfId="3104" builtinId="8" hidden="1"/>
    <cellStyle name="Hyperlink" xfId="3106" builtinId="8" hidden="1"/>
    <cellStyle name="Hyperlink" xfId="3108" builtinId="8" hidden="1"/>
    <cellStyle name="Hyperlink" xfId="3110" builtinId="8" hidden="1"/>
    <cellStyle name="Hyperlink" xfId="3112" builtinId="8" hidden="1"/>
    <cellStyle name="Hyperlink" xfId="3114" builtinId="8" hidden="1"/>
    <cellStyle name="Hyperlink" xfId="3116" builtinId="8" hidden="1"/>
    <cellStyle name="Hyperlink" xfId="3118" builtinId="8" hidden="1"/>
    <cellStyle name="Hyperlink" xfId="3120" builtinId="8" hidden="1"/>
    <cellStyle name="Hyperlink" xfId="3122" builtinId="8" hidden="1"/>
    <cellStyle name="Hyperlink" xfId="3124" builtinId="8" hidden="1"/>
    <cellStyle name="Hyperlink" xfId="3126" builtinId="8" hidden="1"/>
    <cellStyle name="Hyperlink" xfId="3128" builtinId="8" hidden="1"/>
    <cellStyle name="Hyperlink" xfId="3130" builtinId="8" hidden="1"/>
    <cellStyle name="Hyperlink" xfId="3132" builtinId="8" hidden="1"/>
    <cellStyle name="Hyperlink" xfId="3134" builtinId="8" hidden="1"/>
    <cellStyle name="Hyperlink" xfId="3136" builtinId="8" hidden="1"/>
    <cellStyle name="Hyperlink" xfId="3138" builtinId="8" hidden="1"/>
    <cellStyle name="Hyperlink" xfId="3140" builtinId="8" hidden="1"/>
    <cellStyle name="Hyperlink" xfId="3142" builtinId="8" hidden="1"/>
    <cellStyle name="Hyperlink" xfId="3144" builtinId="8" hidden="1"/>
    <cellStyle name="Hyperlink" xfId="3146" builtinId="8" hidden="1"/>
    <cellStyle name="Hyperlink" xfId="3148" builtinId="8" hidden="1"/>
    <cellStyle name="Hyperlink" xfId="3150" builtinId="8" hidden="1"/>
    <cellStyle name="Hyperlink" xfId="3152" builtinId="8" hidden="1"/>
    <cellStyle name="Hyperlink" xfId="3154" builtinId="8" hidden="1"/>
    <cellStyle name="Hyperlink" xfId="3156" builtinId="8" hidden="1"/>
    <cellStyle name="Hyperlink" xfId="3158" builtinId="8" hidden="1"/>
    <cellStyle name="Hyperlink" xfId="3160" builtinId="8" hidden="1"/>
    <cellStyle name="Hyperlink" xfId="3162" builtinId="8" hidden="1"/>
    <cellStyle name="Hyperlink" xfId="3164" builtinId="8" hidden="1"/>
    <cellStyle name="Hyperlink" xfId="3166" builtinId="8" hidden="1"/>
    <cellStyle name="Hyperlink" xfId="3168" builtinId="8" hidden="1"/>
    <cellStyle name="Hyperlink" xfId="3170" builtinId="8" hidden="1"/>
    <cellStyle name="Hyperlink" xfId="3172" builtinId="8" hidden="1"/>
    <cellStyle name="Hyperlink" xfId="3174" builtinId="8" hidden="1"/>
    <cellStyle name="Hyperlink" xfId="3176" builtinId="8" hidden="1"/>
    <cellStyle name="Hyperlink" xfId="3178" builtinId="8" hidden="1"/>
    <cellStyle name="Normal" xfId="0" builtinId="0"/>
    <cellStyle name="Normal 2" xfId="110"/>
    <cellStyle name="Normal 2 2" xfId="241"/>
    <cellStyle name="Normal 3" xfId="655"/>
    <cellStyle name="Percent" xfId="1" builtinId="5"/>
    <cellStyle name="Percent 2" xfId="11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A1:K219"/>
  <sheetViews>
    <sheetView tabSelected="1" topLeftCell="A172" zoomScale="150" zoomScaleNormal="150" zoomScalePageLayoutView="150" workbookViewId="0">
      <selection activeCell="D196" sqref="D196"/>
    </sheetView>
  </sheetViews>
  <sheetFormatPr baseColWidth="10" defaultColWidth="8.83203125" defaultRowHeight="15.75" customHeight="1" x14ac:dyDescent="0"/>
  <cols>
    <col min="1" max="1" width="2.83203125" style="1" customWidth="1"/>
    <col min="2" max="2" width="52.1640625" style="1" bestFit="1" customWidth="1"/>
    <col min="3" max="3" width="13.5" style="15" bestFit="1" customWidth="1"/>
    <col min="4" max="4" width="39.33203125" style="1" customWidth="1"/>
    <col min="5" max="5" width="10.33203125" style="1" customWidth="1"/>
    <col min="6" max="7" width="8.83203125" style="1"/>
    <col min="8" max="8" width="8.6640625" style="1" bestFit="1" customWidth="1"/>
    <col min="9" max="16384" width="8.83203125" style="1"/>
  </cols>
  <sheetData>
    <row r="1" spans="1:11" ht="12">
      <c r="D1" s="15"/>
      <c r="E1" s="237"/>
      <c r="F1" s="236"/>
      <c r="G1" s="236"/>
      <c r="H1" s="13"/>
    </row>
    <row r="2" spans="1:11" ht="31" customHeight="1">
      <c r="B2" s="242" t="s">
        <v>347</v>
      </c>
      <c r="D2" s="39"/>
      <c r="E2" s="238"/>
      <c r="F2" s="236"/>
      <c r="G2" s="236"/>
      <c r="H2" s="13"/>
    </row>
    <row r="3" spans="1:11" ht="12">
      <c r="D3" s="39"/>
      <c r="E3" s="238"/>
      <c r="F3" s="236"/>
      <c r="G3" s="236"/>
      <c r="H3" s="13"/>
    </row>
    <row r="4" spans="1:11" ht="15.75" customHeight="1" thickBot="1">
      <c r="C4" s="40" t="s">
        <v>4</v>
      </c>
      <c r="E4" s="236"/>
      <c r="F4" s="236"/>
      <c r="G4" s="236"/>
      <c r="H4" s="13"/>
      <c r="I4" s="13"/>
      <c r="J4" s="13"/>
      <c r="K4" s="13"/>
    </row>
    <row r="5" spans="1:11" ht="15.75" customHeight="1">
      <c r="B5" s="243" t="s">
        <v>156</v>
      </c>
      <c r="C5" s="146"/>
      <c r="E5" s="236"/>
      <c r="F5" s="236"/>
      <c r="G5" s="236"/>
      <c r="H5" s="13"/>
    </row>
    <row r="6" spans="1:11" ht="15.75" customHeight="1">
      <c r="A6" s="15"/>
      <c r="B6" s="244" t="s">
        <v>157</v>
      </c>
      <c r="C6" s="245">
        <f t="shared" ref="C6" si="0">C48</f>
        <v>9956711</v>
      </c>
      <c r="E6" s="236"/>
      <c r="F6" s="236"/>
      <c r="G6" s="239"/>
      <c r="H6" s="13"/>
    </row>
    <row r="7" spans="1:11" ht="15.75" customHeight="1">
      <c r="B7" s="244" t="s">
        <v>158</v>
      </c>
      <c r="C7" s="245">
        <f t="shared" ref="C7" si="1">C60</f>
        <v>1077501.2</v>
      </c>
      <c r="E7" s="236"/>
      <c r="F7" s="236"/>
      <c r="G7" s="236"/>
      <c r="H7" s="13"/>
    </row>
    <row r="8" spans="1:11" ht="15.75" customHeight="1">
      <c r="B8" s="244" t="s">
        <v>159</v>
      </c>
      <c r="C8" s="245">
        <f t="shared" ref="C8" si="2">C72</f>
        <v>107000</v>
      </c>
      <c r="E8" s="236"/>
      <c r="F8" s="236"/>
      <c r="G8" s="236"/>
      <c r="H8" s="13"/>
    </row>
    <row r="9" spans="1:11" ht="15.75" customHeight="1">
      <c r="B9" s="246" t="s">
        <v>160</v>
      </c>
      <c r="C9" s="247">
        <f t="shared" ref="C9" si="3">C77</f>
        <v>2074.3147916666667</v>
      </c>
      <c r="E9" s="236"/>
      <c r="F9" s="236"/>
      <c r="G9" s="236"/>
      <c r="H9" s="13"/>
    </row>
    <row r="10" spans="1:11" ht="15.75" customHeight="1" thickBot="1">
      <c r="B10" s="248" t="s">
        <v>161</v>
      </c>
      <c r="C10" s="249">
        <f t="shared" ref="C10" si="4">SUM(C6:C9)</f>
        <v>11143286.514791666</v>
      </c>
      <c r="E10" s="240"/>
      <c r="F10" s="236"/>
      <c r="G10" s="239"/>
      <c r="H10" s="13"/>
    </row>
    <row r="11" spans="1:11" ht="15.75" customHeight="1" thickBot="1">
      <c r="C11" s="42"/>
      <c r="E11" s="236"/>
      <c r="F11" s="236"/>
      <c r="G11" s="236"/>
      <c r="H11" s="13"/>
    </row>
    <row r="12" spans="1:11" ht="15.75" customHeight="1">
      <c r="B12" s="243" t="s">
        <v>1</v>
      </c>
      <c r="C12" s="250"/>
      <c r="E12" s="236"/>
      <c r="F12" s="236"/>
      <c r="G12" s="236"/>
      <c r="H12" s="13"/>
    </row>
    <row r="13" spans="1:11" ht="15.75" customHeight="1">
      <c r="B13" s="251" t="str">
        <f>B84</f>
        <v>Compensation: Instructional Leaders</v>
      </c>
      <c r="C13" s="245">
        <f>C84</f>
        <v>306000</v>
      </c>
      <c r="E13" s="236"/>
      <c r="F13" s="236"/>
      <c r="G13" s="236"/>
      <c r="H13" s="13"/>
    </row>
    <row r="14" spans="1:11" ht="15.75" customHeight="1">
      <c r="B14" s="251" t="str">
        <f>B85</f>
        <v>Compensation: Instructional Staff</v>
      </c>
      <c r="C14" s="245">
        <f t="shared" ref="C14:C15" si="5">C85</f>
        <v>2707000</v>
      </c>
      <c r="E14" s="236"/>
      <c r="F14" s="236"/>
      <c r="G14" s="236"/>
      <c r="H14" s="13"/>
    </row>
    <row r="15" spans="1:11" ht="15.75" customHeight="1">
      <c r="B15" s="251" t="str">
        <f>B86</f>
        <v>Compensation: Non-Instructional Personnel</v>
      </c>
      <c r="C15" s="245">
        <f t="shared" si="5"/>
        <v>540000</v>
      </c>
      <c r="E15" s="236"/>
      <c r="F15" s="236"/>
      <c r="G15" s="236"/>
      <c r="H15" s="13"/>
    </row>
    <row r="16" spans="1:11" ht="15.75" customHeight="1">
      <c r="B16" s="251" t="str">
        <f>B98</f>
        <v>Total Program Incentives for FT Staff</v>
      </c>
      <c r="C16" s="245">
        <f t="shared" ref="C16" si="6">C98</f>
        <v>166150</v>
      </c>
      <c r="E16" s="236"/>
      <c r="F16" s="236"/>
      <c r="G16" s="236"/>
      <c r="H16" s="13"/>
    </row>
    <row r="17" spans="1:8" ht="15.75" customHeight="1">
      <c r="A17" s="15"/>
      <c r="B17" s="251" t="str">
        <f>B116</f>
        <v>Total Fringe Benefits</v>
      </c>
      <c r="C17" s="245">
        <f t="shared" ref="C17" si="7">C116</f>
        <v>986607.41963999998</v>
      </c>
      <c r="D17" s="45"/>
      <c r="E17" s="240"/>
      <c r="F17" s="236"/>
      <c r="G17" s="239"/>
      <c r="H17" s="13"/>
    </row>
    <row r="18" spans="1:8" ht="15.75" customHeight="1">
      <c r="A18" s="15"/>
      <c r="B18" s="251" t="str">
        <f>B136</f>
        <v>Total General &amp; Administrative</v>
      </c>
      <c r="C18" s="245">
        <f t="shared" ref="C18" si="8">C136</f>
        <v>767363.5</v>
      </c>
      <c r="D18" s="45"/>
      <c r="E18" s="240"/>
      <c r="F18" s="236"/>
      <c r="G18" s="239"/>
      <c r="H18" s="13"/>
    </row>
    <row r="19" spans="1:8" ht="15.75" customHeight="1">
      <c r="A19" s="15"/>
      <c r="B19" s="251" t="str">
        <f>B151</f>
        <v>Total Professional Services</v>
      </c>
      <c r="C19" s="245">
        <f t="shared" ref="C19" si="9">C151</f>
        <v>2318622.54</v>
      </c>
      <c r="E19" s="240"/>
      <c r="F19" s="236"/>
      <c r="G19" s="239"/>
      <c r="H19" s="13"/>
    </row>
    <row r="20" spans="1:8" ht="15.75" customHeight="1">
      <c r="B20" s="251" t="str">
        <f>B160</f>
        <v>Total Professional Development</v>
      </c>
      <c r="C20" s="245">
        <f t="shared" ref="C20" si="10">C160</f>
        <v>157450</v>
      </c>
      <c r="E20" s="236"/>
      <c r="F20" s="236"/>
      <c r="G20" s="236"/>
      <c r="H20" s="13"/>
    </row>
    <row r="21" spans="1:8" ht="15.75" customHeight="1">
      <c r="A21" s="15"/>
      <c r="B21" s="251" t="str">
        <f>B167</f>
        <v>Total Recruiting/Marketing</v>
      </c>
      <c r="C21" s="245">
        <f t="shared" ref="C21" si="11">C167</f>
        <v>8000</v>
      </c>
      <c r="E21" s="240"/>
      <c r="F21" s="236"/>
      <c r="G21" s="239"/>
      <c r="H21" s="13"/>
    </row>
    <row r="22" spans="1:8" ht="15.75" customHeight="1">
      <c r="B22" s="251" t="str">
        <f>B172</f>
        <v>Total Fundraising Expenses</v>
      </c>
      <c r="C22" s="245">
        <f t="shared" ref="C22" si="12">C172</f>
        <v>0</v>
      </c>
      <c r="E22" s="240"/>
      <c r="F22" s="236"/>
      <c r="G22" s="236"/>
      <c r="H22" s="13"/>
    </row>
    <row r="23" spans="1:8" ht="15.75" customHeight="1">
      <c r="B23" s="251" t="str">
        <f>B193</f>
        <v>Total Direct Instructional Expenses</v>
      </c>
      <c r="C23" s="245">
        <f t="shared" ref="C23" si="13">C193</f>
        <v>484620.86</v>
      </c>
      <c r="E23" s="240"/>
      <c r="F23" s="236"/>
      <c r="G23" s="239"/>
      <c r="H23" s="13"/>
    </row>
    <row r="24" spans="1:8" ht="15.75" customHeight="1">
      <c r="B24" s="251" t="str">
        <f>B201</f>
        <v>Total Building &amp; Facilities Expenses</v>
      </c>
      <c r="C24" s="252">
        <f>C201</f>
        <v>2395000</v>
      </c>
      <c r="D24" s="15"/>
      <c r="E24" s="241"/>
      <c r="F24" s="236"/>
      <c r="G24" s="239"/>
      <c r="H24" s="13"/>
    </row>
    <row r="25" spans="1:8" ht="15.75" customHeight="1">
      <c r="B25" s="251" t="str">
        <f>B208</f>
        <v>Total Technology/Communication Expenses</v>
      </c>
      <c r="C25" s="245">
        <f t="shared" ref="C25" si="14">C208</f>
        <v>157000</v>
      </c>
      <c r="E25" s="236"/>
      <c r="F25" s="236"/>
      <c r="G25" s="236"/>
      <c r="H25" s="13"/>
    </row>
    <row r="26" spans="1:8" ht="15.75" customHeight="1">
      <c r="B26" s="244" t="s">
        <v>148</v>
      </c>
      <c r="C26" s="245">
        <f t="shared" ref="C26" si="15">C210</f>
        <v>111432.86514791666</v>
      </c>
      <c r="E26" s="236"/>
      <c r="F26" s="236"/>
      <c r="G26" s="236"/>
      <c r="H26" s="13"/>
    </row>
    <row r="27" spans="1:8" ht="15.75" customHeight="1">
      <c r="B27" s="246" t="s">
        <v>149</v>
      </c>
      <c r="C27" s="247">
        <f t="shared" ref="C27" si="16">C212</f>
        <v>14700</v>
      </c>
      <c r="E27" s="236"/>
      <c r="F27" s="236"/>
      <c r="G27" s="236"/>
      <c r="H27" s="13"/>
    </row>
    <row r="28" spans="1:8" ht="15.75" customHeight="1" thickBot="1">
      <c r="B28" s="248" t="s">
        <v>2</v>
      </c>
      <c r="C28" s="249">
        <f>SUM(C13:C27)</f>
        <v>11119947.184787916</v>
      </c>
      <c r="E28" s="240"/>
      <c r="F28" s="236"/>
      <c r="G28" s="239"/>
      <c r="H28" s="13"/>
    </row>
    <row r="29" spans="1:8" ht="15.75" customHeight="1" thickBot="1">
      <c r="B29" s="253"/>
      <c r="C29" s="254"/>
      <c r="E29" s="236"/>
      <c r="F29" s="236"/>
      <c r="G29" s="236"/>
      <c r="H29" s="13"/>
    </row>
    <row r="30" spans="1:8" ht="15.75" customHeight="1" thickBot="1">
      <c r="B30" s="255" t="s">
        <v>3</v>
      </c>
      <c r="C30" s="256">
        <f t="shared" ref="C30" si="17">C10-C28</f>
        <v>23339.330003749579</v>
      </c>
      <c r="E30" s="240"/>
      <c r="F30" s="236"/>
      <c r="G30" s="236"/>
      <c r="H30" s="13"/>
    </row>
    <row r="31" spans="1:8" ht="15.75" customHeight="1">
      <c r="B31" s="41"/>
      <c r="C31" s="44"/>
      <c r="E31" s="13"/>
      <c r="F31" s="13"/>
      <c r="G31" s="13"/>
      <c r="H31" s="13"/>
    </row>
    <row r="32" spans="1:8" ht="22" customHeight="1">
      <c r="B32" s="257" t="s">
        <v>348</v>
      </c>
      <c r="C32" s="42"/>
    </row>
    <row r="33" spans="1:7" ht="15.75" customHeight="1">
      <c r="B33" s="47"/>
      <c r="C33" s="42"/>
    </row>
    <row r="34" spans="1:7" ht="15.75" customHeight="1" thickBot="1">
      <c r="B34" s="258" t="s">
        <v>162</v>
      </c>
      <c r="C34" s="42"/>
    </row>
    <row r="35" spans="1:7" ht="15.75" customHeight="1">
      <c r="A35" s="48"/>
      <c r="B35" s="259" t="s">
        <v>163</v>
      </c>
      <c r="C35" s="260"/>
      <c r="E35" s="1" t="s">
        <v>427</v>
      </c>
    </row>
    <row r="36" spans="1:7" ht="15.75" customHeight="1">
      <c r="A36" s="51"/>
      <c r="B36" s="261" t="s">
        <v>204</v>
      </c>
      <c r="C36" s="347">
        <f>'DPCH DC Assumptions'!D8*'DPCH DC Assumptions'!D53</f>
        <v>508760</v>
      </c>
      <c r="D36" s="13" t="s">
        <v>426</v>
      </c>
      <c r="E36" s="1">
        <v>40</v>
      </c>
    </row>
    <row r="37" spans="1:7" ht="15.75" customHeight="1">
      <c r="A37" s="51"/>
      <c r="B37" s="261" t="s">
        <v>205</v>
      </c>
      <c r="C37" s="347">
        <f>'DPCH DC Assumptions'!D9*'DPCH DC Assumptions'!D54</f>
        <v>555300</v>
      </c>
      <c r="D37" s="13" t="s">
        <v>426</v>
      </c>
      <c r="E37" s="1">
        <v>45</v>
      </c>
    </row>
    <row r="38" spans="1:7" ht="15.75" customHeight="1">
      <c r="A38" s="48"/>
      <c r="B38" s="261" t="s">
        <v>206</v>
      </c>
      <c r="C38" s="150">
        <f>'DPCH DC Assumptions'!D11*'DPCH DC Assumptions'!D56</f>
        <v>1234000</v>
      </c>
      <c r="D38" s="1" t="s">
        <v>428</v>
      </c>
      <c r="E38" s="1">
        <v>100</v>
      </c>
    </row>
    <row r="39" spans="1:7" ht="15.75" customHeight="1">
      <c r="A39" s="48"/>
      <c r="B39" s="261" t="s">
        <v>207</v>
      </c>
      <c r="C39" s="150">
        <f>'DPCH DC Assumptions'!D12*SUM('DPCH DC Assumptions'!D57:D61)</f>
        <v>3796800</v>
      </c>
      <c r="D39" s="1" t="s">
        <v>428</v>
      </c>
      <c r="E39" s="1">
        <v>400</v>
      </c>
    </row>
    <row r="40" spans="1:7" ht="15.75" customHeight="1">
      <c r="A40" s="48"/>
      <c r="B40" s="261" t="s">
        <v>208</v>
      </c>
      <c r="C40" s="150">
        <f>'DPCH DC Assumptions'!D13*'DPCH DC Assumptions'!D62</f>
        <v>512550</v>
      </c>
      <c r="D40" s="1" t="s">
        <v>428</v>
      </c>
      <c r="E40" s="1">
        <v>50</v>
      </c>
    </row>
    <row r="41" spans="1:7" ht="15.75" customHeight="1">
      <c r="A41" s="48"/>
      <c r="B41" s="261" t="s">
        <v>209</v>
      </c>
      <c r="C41" s="150">
        <f>('DPCH DC Assumptions'!D15*'DPCH DC Assumptions'!D91)+('DPCH DC Assumptions'!D16*'DPCH DC Assumptions'!D92)+('DPCH DC Assumptions'!D17*'DPCH DC Assumptions'!D93)+('DPCH DC Assumptions'!D18*'DPCH DC Assumptions'!D94)</f>
        <v>846670</v>
      </c>
      <c r="D41" s="1" t="s">
        <v>429</v>
      </c>
      <c r="E41" s="353">
        <v>0.11</v>
      </c>
    </row>
    <row r="42" spans="1:7" ht="15.75" customHeight="1">
      <c r="A42" s="48"/>
      <c r="B42" s="261" t="s">
        <v>210</v>
      </c>
      <c r="C42" s="150">
        <f>'DPCH DC Assumptions'!D20*SUM('DPCH DC Assumptions'!D91:D94)</f>
        <v>222650</v>
      </c>
      <c r="D42" s="1" t="s">
        <v>429</v>
      </c>
    </row>
    <row r="43" spans="1:7" ht="15.75" customHeight="1">
      <c r="A43" s="48"/>
      <c r="B43" s="261" t="s">
        <v>211</v>
      </c>
      <c r="C43" s="150">
        <f>0</f>
        <v>0</v>
      </c>
      <c r="D43" s="3" t="s">
        <v>212</v>
      </c>
    </row>
    <row r="44" spans="1:7" ht="15.75" customHeight="1">
      <c r="A44" s="48"/>
      <c r="B44" s="261" t="s">
        <v>213</v>
      </c>
      <c r="C44" s="150">
        <f>'DPCH DC Assumptions'!D23*'DPCH DC Assumptions'!D95</f>
        <v>74416</v>
      </c>
      <c r="D44" s="1" t="s">
        <v>430</v>
      </c>
      <c r="E44" s="1" t="s">
        <v>431</v>
      </c>
    </row>
    <row r="45" spans="1:7" ht="15.75" customHeight="1">
      <c r="A45" s="52"/>
      <c r="B45" s="261" t="s">
        <v>214</v>
      </c>
      <c r="C45" s="150">
        <f>SUM('DPCH DC Assumptions'!D91:D94)*'DPCH DC Assumptions'!D26</f>
        <v>39955</v>
      </c>
      <c r="D45" s="15"/>
      <c r="E45" s="15"/>
    </row>
    <row r="46" spans="1:7" ht="15.75" customHeight="1">
      <c r="A46" s="53"/>
      <c r="B46" s="261" t="s">
        <v>215</v>
      </c>
      <c r="C46" s="150">
        <f>'DPCH DC Assumptions'!D24*('DPCH DC Assumptions'!D66)</f>
        <v>1950720</v>
      </c>
      <c r="D46" s="1" t="s">
        <v>432</v>
      </c>
      <c r="F46" s="15"/>
      <c r="G46" s="15"/>
    </row>
    <row r="47" spans="1:7" ht="15.75" customHeight="1">
      <c r="A47" s="53"/>
      <c r="B47" s="261" t="s">
        <v>421</v>
      </c>
      <c r="C47" s="150">
        <f>'DPCH DC Assumptions'!D27</f>
        <v>214890</v>
      </c>
      <c r="D47" s="15" t="s">
        <v>433</v>
      </c>
      <c r="F47" s="15"/>
      <c r="G47" s="15"/>
    </row>
    <row r="48" spans="1:7" ht="15.75" customHeight="1" thickBot="1">
      <c r="A48" s="48"/>
      <c r="B48" s="279" t="s">
        <v>157</v>
      </c>
      <c r="C48" s="309">
        <f>SUM(C36:C47)</f>
        <v>9956711</v>
      </c>
    </row>
    <row r="49" spans="1:7" ht="15.75" customHeight="1" thickBot="1">
      <c r="A49" s="48"/>
      <c r="B49" s="261"/>
      <c r="C49" s="150"/>
    </row>
    <row r="50" spans="1:7" ht="15.75" customHeight="1">
      <c r="A50" s="48"/>
      <c r="B50" s="259" t="s">
        <v>164</v>
      </c>
      <c r="C50" s="260"/>
    </row>
    <row r="51" spans="1:7" ht="15.75" customHeight="1">
      <c r="A51" s="48"/>
      <c r="B51" s="261" t="s">
        <v>165</v>
      </c>
      <c r="C51" s="150">
        <f>SUM('DPCH DC Assumptions'!D93+'DPCH DC Assumptions'!D94)*'DPCH DC Assumptions'!D21</f>
        <v>22015</v>
      </c>
      <c r="D51" s="15"/>
    </row>
    <row r="52" spans="1:7" ht="21" customHeight="1">
      <c r="A52" s="53"/>
      <c r="B52" s="261" t="s">
        <v>346</v>
      </c>
      <c r="C52" s="150">
        <f>'DPCH DC Assumptions'!D34</f>
        <v>175000</v>
      </c>
      <c r="D52" s="344" t="s">
        <v>434</v>
      </c>
      <c r="E52" s="54"/>
      <c r="F52" s="54"/>
      <c r="G52" s="54"/>
    </row>
    <row r="53" spans="1:7" ht="15.75" customHeight="1">
      <c r="A53" s="48"/>
      <c r="B53" s="261" t="s">
        <v>166</v>
      </c>
      <c r="C53" s="262">
        <f>SUM('DPCH DC Assumptions'!D43)*('DPCH DC Budget Detail'!C204+'DPCH DC Budget Detail'!C206)</f>
        <v>78672</v>
      </c>
      <c r="D53" s="3" t="s">
        <v>442</v>
      </c>
    </row>
    <row r="54" spans="1:7" ht="15.75" customHeight="1">
      <c r="A54" s="48"/>
      <c r="B54" s="261" t="s">
        <v>5</v>
      </c>
      <c r="C54" s="150">
        <f>'DPCH DC Assumptions'!D29*('DPCH DC Assumptions'!D87)</f>
        <v>288750</v>
      </c>
    </row>
    <row r="55" spans="1:7" ht="15.75" customHeight="1">
      <c r="A55" s="48"/>
      <c r="B55" s="261" t="s">
        <v>216</v>
      </c>
      <c r="C55" s="151">
        <v>0</v>
      </c>
      <c r="D55" s="3"/>
    </row>
    <row r="56" spans="1:7" ht="15.75" customHeight="1">
      <c r="A56" s="48"/>
      <c r="B56" s="261" t="s">
        <v>6</v>
      </c>
      <c r="C56" s="151">
        <v>0</v>
      </c>
    </row>
    <row r="57" spans="1:7" ht="15.75" customHeight="1">
      <c r="A57" s="48"/>
      <c r="B57" s="261" t="s">
        <v>217</v>
      </c>
      <c r="C57" s="151">
        <v>0</v>
      </c>
    </row>
    <row r="58" spans="1:7" ht="15.75" customHeight="1">
      <c r="A58" s="48"/>
      <c r="B58" s="261" t="s">
        <v>218</v>
      </c>
      <c r="C58" s="151">
        <v>0</v>
      </c>
    </row>
    <row r="59" spans="1:7" ht="15.75" customHeight="1">
      <c r="A59" s="48"/>
      <c r="B59" s="261" t="s">
        <v>412</v>
      </c>
      <c r="C59" s="150">
        <f>C129*'DPCH DC Assumptions'!D45</f>
        <v>513064.2</v>
      </c>
      <c r="D59" s="3" t="s">
        <v>443</v>
      </c>
    </row>
    <row r="60" spans="1:7" ht="15.75" customHeight="1" thickBot="1">
      <c r="A60" s="48"/>
      <c r="B60" s="279" t="s">
        <v>158</v>
      </c>
      <c r="C60" s="309">
        <f t="shared" ref="C60" si="18">SUM(C51:C59)</f>
        <v>1077501.2</v>
      </c>
    </row>
    <row r="61" spans="1:7" ht="15.75" customHeight="1" thickBot="1">
      <c r="A61" s="48"/>
      <c r="B61" s="147"/>
      <c r="C61" s="150"/>
    </row>
    <row r="62" spans="1:7" ht="15.75" customHeight="1">
      <c r="A62" s="48"/>
      <c r="B62" s="259" t="s">
        <v>167</v>
      </c>
      <c r="C62" s="260"/>
    </row>
    <row r="63" spans="1:7" ht="19" customHeight="1">
      <c r="A63" s="48"/>
      <c r="B63" s="261" t="s">
        <v>168</v>
      </c>
      <c r="C63" s="150">
        <f>'DPCH DC Assumptions'!D39</f>
        <v>67000</v>
      </c>
      <c r="D63" s="346" t="s">
        <v>444</v>
      </c>
      <c r="E63" s="54"/>
    </row>
    <row r="64" spans="1:7" ht="15.75" customHeight="1">
      <c r="A64" s="48"/>
      <c r="B64" s="261" t="s">
        <v>219</v>
      </c>
      <c r="C64" s="150">
        <f>'DPCH DC Assumptions'!D40</f>
        <v>0</v>
      </c>
    </row>
    <row r="65" spans="1:4" ht="15.75" customHeight="1">
      <c r="A65" s="48"/>
      <c r="B65" s="261" t="s">
        <v>220</v>
      </c>
      <c r="C65" s="150">
        <f>'DPCH DC Assumptions'!D41</f>
        <v>0</v>
      </c>
    </row>
    <row r="66" spans="1:4" ht="15.75" customHeight="1">
      <c r="A66" s="48"/>
      <c r="B66" s="261" t="s">
        <v>169</v>
      </c>
      <c r="C66" s="150">
        <f>'DPCH DC Assumptions'!D35+'DPCH DC Assumptions'!D36+'DPCH DC Assumptions'!D37</f>
        <v>40000</v>
      </c>
      <c r="D66" s="1" t="s">
        <v>445</v>
      </c>
    </row>
    <row r="67" spans="1:4" ht="15.75" customHeight="1">
      <c r="A67" s="48"/>
      <c r="B67" s="261" t="s">
        <v>170</v>
      </c>
      <c r="C67" s="150">
        <f>'DPCH DC Assumptions'!D40</f>
        <v>0</v>
      </c>
    </row>
    <row r="68" spans="1:4" ht="15.75" customHeight="1">
      <c r="A68" s="48"/>
      <c r="B68" s="261" t="s">
        <v>171</v>
      </c>
      <c r="C68" s="150">
        <v>0</v>
      </c>
      <c r="D68" s="3"/>
    </row>
    <row r="69" spans="1:4" ht="15.75" customHeight="1">
      <c r="A69" s="48"/>
      <c r="B69" s="261" t="s">
        <v>221</v>
      </c>
      <c r="C69" s="150">
        <f>'DPCH DC Assumptions'!D46</f>
        <v>0</v>
      </c>
    </row>
    <row r="70" spans="1:4" ht="15.75" customHeight="1">
      <c r="A70" s="48"/>
      <c r="B70" s="261" t="s">
        <v>222</v>
      </c>
      <c r="C70" s="150">
        <v>0</v>
      </c>
    </row>
    <row r="71" spans="1:4" ht="15.75" customHeight="1">
      <c r="A71" s="48"/>
      <c r="B71" s="261" t="s">
        <v>172</v>
      </c>
      <c r="C71" s="150">
        <f>'DPCH DC Assumptions'!D41</f>
        <v>0</v>
      </c>
    </row>
    <row r="72" spans="1:4" ht="15.75" customHeight="1" thickBot="1">
      <c r="A72" s="48"/>
      <c r="B72" s="279" t="s">
        <v>159</v>
      </c>
      <c r="C72" s="309">
        <f t="shared" ref="C72" si="19">SUM(C63:C71)</f>
        <v>107000</v>
      </c>
    </row>
    <row r="73" spans="1:4" ht="15.75" customHeight="1" thickBot="1">
      <c r="A73" s="48"/>
      <c r="B73" s="147"/>
      <c r="C73" s="150"/>
    </row>
    <row r="74" spans="1:4" ht="15.75" customHeight="1">
      <c r="A74" s="48"/>
      <c r="B74" s="259" t="s">
        <v>173</v>
      </c>
      <c r="C74" s="260"/>
    </row>
    <row r="75" spans="1:4" ht="15.75" customHeight="1">
      <c r="A75" s="48"/>
      <c r="B75" s="261" t="s">
        <v>174</v>
      </c>
      <c r="C75" s="150">
        <f>C48*('DPCH DC Assumptions'!D44/12)*0.5</f>
        <v>2074.3147916666667</v>
      </c>
    </row>
    <row r="76" spans="1:4" ht="15.75" customHeight="1">
      <c r="A76" s="48"/>
      <c r="B76" s="261" t="s">
        <v>340</v>
      </c>
      <c r="C76" s="150">
        <v>0</v>
      </c>
    </row>
    <row r="77" spans="1:4" ht="18" customHeight="1" thickBot="1">
      <c r="B77" s="315" t="s">
        <v>175</v>
      </c>
      <c r="C77" s="280">
        <f>SUM(C75:C76)</f>
        <v>2074.3147916666667</v>
      </c>
    </row>
    <row r="78" spans="1:4" ht="15.75" customHeight="1">
      <c r="B78" s="147"/>
      <c r="C78" s="150"/>
    </row>
    <row r="79" spans="1:4" ht="15.75" customHeight="1">
      <c r="B79" s="263" t="s">
        <v>176</v>
      </c>
      <c r="C79" s="264">
        <f>C48+C60+C72+C77</f>
        <v>11143286.514791666</v>
      </c>
    </row>
    <row r="80" spans="1:4" ht="15.75" customHeight="1" thickBot="1">
      <c r="B80" s="265"/>
      <c r="C80" s="266"/>
    </row>
    <row r="81" spans="2:8" ht="15.75" customHeight="1" thickBot="1">
      <c r="B81" s="5"/>
      <c r="C81" s="50"/>
    </row>
    <row r="82" spans="2:8" ht="15.75" customHeight="1">
      <c r="B82" s="267" t="s">
        <v>177</v>
      </c>
      <c r="C82" s="260"/>
    </row>
    <row r="83" spans="2:8" ht="15.75" customHeight="1">
      <c r="B83" s="268" t="s">
        <v>201</v>
      </c>
      <c r="C83" s="150"/>
    </row>
    <row r="84" spans="2:8" ht="15.75" customHeight="1">
      <c r="B84" s="147" t="s">
        <v>178</v>
      </c>
      <c r="C84" s="150">
        <f>' DPCH DC Staffing  '!F83</f>
        <v>306000</v>
      </c>
      <c r="D84" s="1" t="s">
        <v>446</v>
      </c>
    </row>
    <row r="85" spans="2:8" ht="15.75" customHeight="1">
      <c r="B85" s="147" t="s">
        <v>179</v>
      </c>
      <c r="C85" s="150">
        <f>' DPCH DC Staffing  '!F84</f>
        <v>2707000</v>
      </c>
      <c r="D85" s="1" t="s">
        <v>447</v>
      </c>
    </row>
    <row r="86" spans="2:8" ht="15.75" customHeight="1">
      <c r="B86" s="147" t="s">
        <v>223</v>
      </c>
      <c r="C86" s="150">
        <f>' DPCH DC Staffing  '!F82</f>
        <v>540000</v>
      </c>
      <c r="D86" s="1" t="s">
        <v>448</v>
      </c>
    </row>
    <row r="87" spans="2:8" ht="15.75" customHeight="1" thickBot="1">
      <c r="B87" s="306" t="s">
        <v>180</v>
      </c>
      <c r="C87" s="280">
        <f>SUM(C84:C86)</f>
        <v>3553000</v>
      </c>
      <c r="E87" s="35"/>
    </row>
    <row r="88" spans="2:8" ht="15.75" customHeight="1" thickBot="1">
      <c r="B88" s="269"/>
      <c r="C88" s="150"/>
    </row>
    <row r="89" spans="2:8" ht="15.75" customHeight="1">
      <c r="B89" s="259" t="s">
        <v>435</v>
      </c>
      <c r="C89" s="260"/>
    </row>
    <row r="90" spans="2:8" ht="15.75" customHeight="1">
      <c r="B90" s="261" t="s">
        <v>52</v>
      </c>
      <c r="C90" s="150">
        <f>('DPCH DC Assumptions'!D109*'DPCH DC Assumptions'!D98)+'DPCH DC Assumptions'!D110+'DPCH DC Assumptions'!D111</f>
        <v>61000</v>
      </c>
      <c r="D90" s="1" t="s">
        <v>449</v>
      </c>
    </row>
    <row r="91" spans="2:8" ht="15.75" customHeight="1">
      <c r="B91" s="261" t="s">
        <v>436</v>
      </c>
      <c r="C91" s="150">
        <f>'DPCH DC Assumptions'!D110</f>
        <v>10000</v>
      </c>
      <c r="D91" s="1" t="s">
        <v>449</v>
      </c>
    </row>
    <row r="92" spans="2:8" ht="15.75" customHeight="1">
      <c r="B92" s="159" t="s">
        <v>224</v>
      </c>
      <c r="C92" s="150">
        <f>'DPCH DC Assumptions'!D112*(7+7+4)</f>
        <v>45000</v>
      </c>
      <c r="D92" s="1" t="s">
        <v>449</v>
      </c>
      <c r="H92" s="43"/>
    </row>
    <row r="93" spans="2:8" ht="15.75" customHeight="1">
      <c r="B93" s="261" t="s">
        <v>57</v>
      </c>
      <c r="C93" s="150">
        <f>'DPCH DC Assumptions'!D113</f>
        <v>0</v>
      </c>
      <c r="H93" s="43"/>
    </row>
    <row r="94" spans="2:8" ht="15.75" customHeight="1">
      <c r="B94" s="261" t="s">
        <v>181</v>
      </c>
      <c r="C94" s="151">
        <v>0</v>
      </c>
      <c r="D94" s="56"/>
      <c r="H94" s="43"/>
    </row>
    <row r="95" spans="2:8" ht="15.75" customHeight="1">
      <c r="B95" s="261" t="s">
        <v>58</v>
      </c>
      <c r="C95" s="150">
        <f>'DPCH DC Assumptions'!D114*'DPCH DC Assumptions'!D104*'DPCH DC Assumptions'!D115</f>
        <v>29500</v>
      </c>
      <c r="D95" s="1" t="s">
        <v>450</v>
      </c>
      <c r="H95" s="43"/>
    </row>
    <row r="96" spans="2:8" ht="15.75" customHeight="1">
      <c r="B96" s="261" t="s">
        <v>60</v>
      </c>
      <c r="C96" s="270">
        <f>'DPCH DC Assumptions'!D116*'DPCH DC Assumptions'!D117</f>
        <v>0</v>
      </c>
      <c r="D96" s="46" t="s">
        <v>212</v>
      </c>
      <c r="E96" s="13"/>
      <c r="F96" s="13"/>
      <c r="G96" s="13"/>
      <c r="H96" s="43"/>
    </row>
    <row r="97" spans="2:5" ht="15.75" customHeight="1">
      <c r="B97" s="261" t="s">
        <v>225</v>
      </c>
      <c r="C97" s="150">
        <f>'DPCH DC Assumptions'!D118*'DPCH DC Assumptions'!D119</f>
        <v>20650</v>
      </c>
      <c r="D97" s="1" t="s">
        <v>451</v>
      </c>
    </row>
    <row r="98" spans="2:5" ht="15.75" customHeight="1">
      <c r="B98" s="153" t="s">
        <v>182</v>
      </c>
      <c r="C98" s="154">
        <f t="shared" ref="C98" si="20">SUM(C90:C97)</f>
        <v>166150</v>
      </c>
    </row>
    <row r="99" spans="2:5" ht="15.75" customHeight="1" thickBot="1">
      <c r="B99" s="307"/>
      <c r="C99" s="308"/>
    </row>
    <row r="100" spans="2:5" ht="15.75" customHeight="1">
      <c r="B100" s="259" t="s">
        <v>62</v>
      </c>
      <c r="C100" s="260"/>
      <c r="D100" s="1" t="s">
        <v>452</v>
      </c>
    </row>
    <row r="101" spans="2:5" ht="15.75" customHeight="1">
      <c r="B101" s="261" t="s">
        <v>64</v>
      </c>
      <c r="C101" s="272">
        <f>'DPCH DC Assumptions'!D123*'DPCH DC Assumptions'!D104*9000</f>
        <v>47790</v>
      </c>
      <c r="E101" s="56"/>
    </row>
    <row r="102" spans="2:5" ht="15.75" customHeight="1">
      <c r="B102" s="261" t="s">
        <v>65</v>
      </c>
      <c r="C102" s="150">
        <f>'DPCH DC Assumptions'!D124*('DPCH DC Budget Detail'!C87+C98+C108)</f>
        <v>232125.41584</v>
      </c>
    </row>
    <row r="103" spans="2:5" ht="15.75" customHeight="1">
      <c r="B103" s="261" t="s">
        <v>66</v>
      </c>
      <c r="C103" s="150">
        <f>'DPCH DC Assumptions'!D125*('DPCH DC Budget Detail'!C87+C98+C108)</f>
        <v>54287.395640000002</v>
      </c>
    </row>
    <row r="104" spans="2:5" ht="15.75" customHeight="1">
      <c r="B104" s="261" t="s">
        <v>67</v>
      </c>
      <c r="C104" s="273">
        <f>'DPCH DC Assumptions'!D126*'DPCH DC Assumptions'!D104</f>
        <v>33335</v>
      </c>
    </row>
    <row r="105" spans="2:5" ht="15.75" hidden="1" customHeight="1">
      <c r="B105" s="261" t="s">
        <v>68</v>
      </c>
      <c r="C105" s="273"/>
    </row>
    <row r="106" spans="2:5" ht="15.75" customHeight="1">
      <c r="B106" s="261" t="s">
        <v>183</v>
      </c>
      <c r="C106" s="273">
        <f>(('DPCH DC Assumptions'!D104*'DPCH DC Assumptions'!D133*'DPCH DC Assumptions'!D128)+('DPCH DC Assumptions'!D104*'DPCH DC Assumptions'!D134*'DPCH DC Assumptions'!D129))*12</f>
        <v>363416.39999999997</v>
      </c>
    </row>
    <row r="107" spans="2:5" ht="15.75" customHeight="1">
      <c r="B107" s="261" t="s">
        <v>184</v>
      </c>
      <c r="C107" s="273">
        <f>(('DPCH DC Assumptions'!D104*'DPCH DC Assumptions'!D130*'DPCH DC Assumptions'!D133+'DPCH DC Assumptions'!D104*'DPCH DC Assumptions'!D131*'DPCH DC Assumptions'!D134))*12</f>
        <v>20815.199999999997</v>
      </c>
    </row>
    <row r="108" spans="2:5" ht="15.75" customHeight="1">
      <c r="B108" s="261" t="s">
        <v>186</v>
      </c>
      <c r="C108" s="273">
        <f>'DPCH DC Assumptions'!D104*'DPCH DC Assumptions'!D136*('DPCH DC Assumptions'!D129*0.3+'DPCH DC Assumptions'!D131*0.3)*12</f>
        <v>24808.32</v>
      </c>
    </row>
    <row r="109" spans="2:5" ht="15.75" customHeight="1">
      <c r="B109" s="261" t="s">
        <v>185</v>
      </c>
      <c r="C109" s="273">
        <f>('DPCH DC Assumptions'!D104*'DPCH DC Assumptions'!D135*'DPCH DC Assumptions'!D132)*12</f>
        <v>141.60000000000002</v>
      </c>
    </row>
    <row r="110" spans="2:5" ht="15.75" customHeight="1">
      <c r="B110" s="261" t="s">
        <v>77</v>
      </c>
      <c r="C110" s="273">
        <v>1160</v>
      </c>
    </row>
    <row r="111" spans="2:5" ht="15.75" customHeight="1">
      <c r="B111" s="261" t="s">
        <v>79</v>
      </c>
      <c r="C111" s="273">
        <f>'DPCH DC Assumptions'!D139*'DPCH DC Budget Detail'!C87</f>
        <v>177650</v>
      </c>
      <c r="E111" s="15"/>
    </row>
    <row r="112" spans="2:5" ht="15.75" customHeight="1">
      <c r="B112" s="261" t="s">
        <v>82</v>
      </c>
      <c r="C112" s="273">
        <f>'DPCH DC Assumptions'!D142*'DPCH DC Budget Detail'!C87*12</f>
        <v>4798.6818000000003</v>
      </c>
    </row>
    <row r="113" spans="2:7" ht="15.75" customHeight="1">
      <c r="B113" s="261" t="s">
        <v>83</v>
      </c>
      <c r="C113" s="273">
        <f>'DPCH DC Assumptions'!D143*'DPCH DC Budget Detail'!C87*12</f>
        <v>13004.406359999997</v>
      </c>
    </row>
    <row r="114" spans="2:7" ht="15.75" customHeight="1">
      <c r="B114" s="261" t="s">
        <v>84</v>
      </c>
      <c r="C114" s="150">
        <f>'DPCH DC Assumptions'!D144*'DPCH DC Assumptions'!D104</f>
        <v>0</v>
      </c>
    </row>
    <row r="115" spans="2:7" ht="15.75" customHeight="1">
      <c r="B115" s="261" t="s">
        <v>418</v>
      </c>
      <c r="C115" s="273">
        <f>'DPCH DC Assumptions'!D145*'DPCH DC Assumptions'!D104</f>
        <v>13275</v>
      </c>
    </row>
    <row r="116" spans="2:7" ht="15.75" customHeight="1" thickBot="1">
      <c r="B116" s="279" t="s">
        <v>187</v>
      </c>
      <c r="C116" s="309">
        <f>SUM(C101:C115)</f>
        <v>986607.41963999998</v>
      </c>
      <c r="E116" s="57"/>
    </row>
    <row r="117" spans="2:7" ht="15.75" customHeight="1" thickBot="1">
      <c r="B117" s="147"/>
      <c r="C117" s="271"/>
      <c r="D117" s="15"/>
      <c r="E117" s="15"/>
      <c r="F117" s="15"/>
      <c r="G117" s="15"/>
    </row>
    <row r="118" spans="2:7" ht="15.75" customHeight="1">
      <c r="B118" s="259" t="s">
        <v>85</v>
      </c>
      <c r="C118" s="260"/>
    </row>
    <row r="119" spans="2:7" ht="15.75" customHeight="1">
      <c r="B119" s="261" t="s">
        <v>86</v>
      </c>
      <c r="C119" s="150">
        <f>'DPCH DC Assumptions'!D149</f>
        <v>50000</v>
      </c>
      <c r="D119" s="1" t="s">
        <v>453</v>
      </c>
    </row>
    <row r="120" spans="2:7" ht="15.75" customHeight="1">
      <c r="B120" s="261" t="s">
        <v>188</v>
      </c>
      <c r="C120" s="150">
        <f>'DPCH DC Assumptions'!D150</f>
        <v>2500</v>
      </c>
    </row>
    <row r="121" spans="2:7" ht="15.75" customHeight="1">
      <c r="B121" s="261" t="s">
        <v>87</v>
      </c>
      <c r="C121" s="150">
        <f>'DPCH DC Assumptions'!D151</f>
        <v>10000</v>
      </c>
    </row>
    <row r="122" spans="2:7" ht="15.75" customHeight="1">
      <c r="B122" s="261" t="s">
        <v>88</v>
      </c>
      <c r="C122" s="273">
        <f>'DPCH DC Assumptions'!D152*'DPCH DC Assumptions'!D87</f>
        <v>27500</v>
      </c>
    </row>
    <row r="123" spans="2:7" ht="15.75" customHeight="1">
      <c r="B123" s="261" t="s">
        <v>90</v>
      </c>
      <c r="C123" s="150">
        <f>'DPCH DC Assumptions'!D153*'DPCH DC Assumptions'!D66</f>
        <v>3175</v>
      </c>
    </row>
    <row r="124" spans="2:7" ht="15.75" customHeight="1">
      <c r="B124" s="261" t="s">
        <v>91</v>
      </c>
      <c r="C124" s="273">
        <f>'DPCH DC Assumptions'!D154*'DPCH DC Assumptions'!D87</f>
        <v>1661</v>
      </c>
    </row>
    <row r="125" spans="2:7" ht="15.75" customHeight="1">
      <c r="B125" s="261" t="s">
        <v>92</v>
      </c>
      <c r="C125" s="150">
        <f>'DPCH DC Assumptions'!D155</f>
        <v>2000</v>
      </c>
    </row>
    <row r="126" spans="2:7" ht="15.75" customHeight="1">
      <c r="B126" s="261" t="s">
        <v>93</v>
      </c>
      <c r="C126" s="150">
        <f>'DPCH DC Assumptions'!D156</f>
        <v>3000</v>
      </c>
    </row>
    <row r="127" spans="2:7" ht="15.75" customHeight="1">
      <c r="B127" s="261" t="s">
        <v>94</v>
      </c>
      <c r="C127" s="273">
        <f>'DPCH DC Assumptions'!D157</f>
        <v>8850</v>
      </c>
    </row>
    <row r="128" spans="2:7" ht="15.75" customHeight="1">
      <c r="B128" s="261" t="s">
        <v>226</v>
      </c>
      <c r="C128" s="273">
        <f>'DPCH DC Assumptions'!D158*'DPCH DC Assumptions'!D104</f>
        <v>5900</v>
      </c>
    </row>
    <row r="129" spans="2:4" ht="15.75" customHeight="1">
      <c r="B129" s="261" t="s">
        <v>227</v>
      </c>
      <c r="C129" s="273">
        <f>'DPCH DC Assumptions'!D159*'DPCH DC Assumptions'!D160*'DPCH DC Assumptions'!D64</f>
        <v>583027.5</v>
      </c>
      <c r="D129" s="3" t="s">
        <v>454</v>
      </c>
    </row>
    <row r="130" spans="2:4" ht="15.75" customHeight="1">
      <c r="B130" s="261" t="s">
        <v>95</v>
      </c>
      <c r="C130" s="273">
        <f>'DPCH DC Assumptions'!D161</f>
        <v>13750</v>
      </c>
    </row>
    <row r="131" spans="2:4" ht="15.75" customHeight="1">
      <c r="B131" s="261" t="s">
        <v>96</v>
      </c>
      <c r="C131" s="150">
        <f>'DPCH DC Assumptions'!D162</f>
        <v>5000</v>
      </c>
    </row>
    <row r="132" spans="2:4" ht="15.75" customHeight="1">
      <c r="B132" s="261" t="s">
        <v>97</v>
      </c>
      <c r="C132" s="150">
        <f>'DPCH DC Assumptions'!D163</f>
        <v>10000</v>
      </c>
    </row>
    <row r="133" spans="2:4" ht="15.75" customHeight="1">
      <c r="B133" s="261" t="s">
        <v>98</v>
      </c>
      <c r="C133" s="150">
        <f>'DPCH DC Assumptions'!D164</f>
        <v>15000</v>
      </c>
    </row>
    <row r="134" spans="2:4" ht="15.75" customHeight="1">
      <c r="B134" s="261" t="s">
        <v>437</v>
      </c>
      <c r="C134" s="150">
        <f>'DPCH DC Assumptions'!D165</f>
        <v>12000</v>
      </c>
    </row>
    <row r="135" spans="2:4" ht="15.75" customHeight="1">
      <c r="B135" s="261" t="s">
        <v>99</v>
      </c>
      <c r="C135" s="150">
        <f>'DPCH DC Assumptions'!D166</f>
        <v>14000</v>
      </c>
    </row>
    <row r="136" spans="2:4" ht="15.75" customHeight="1" thickBot="1">
      <c r="B136" s="279" t="s">
        <v>189</v>
      </c>
      <c r="C136" s="309">
        <f>SUM(C119:C135)</f>
        <v>767363.5</v>
      </c>
    </row>
    <row r="137" spans="2:4" ht="15.75" customHeight="1" thickBot="1">
      <c r="B137" s="261"/>
      <c r="C137" s="150"/>
    </row>
    <row r="138" spans="2:4" ht="15.75" customHeight="1">
      <c r="B138" s="259" t="s">
        <v>100</v>
      </c>
      <c r="C138" s="260"/>
    </row>
    <row r="139" spans="2:4" ht="15.75" customHeight="1">
      <c r="B139" s="261" t="s">
        <v>229</v>
      </c>
      <c r="C139" s="150">
        <f>'DPCH DC Assumptions'!D169</f>
        <v>25000</v>
      </c>
    </row>
    <row r="140" spans="2:4" ht="15.75" customHeight="1">
      <c r="B140" s="261" t="s">
        <v>101</v>
      </c>
      <c r="C140" s="273">
        <f>'DPCH DC Assumptions'!D170</f>
        <v>17750</v>
      </c>
    </row>
    <row r="141" spans="2:4" ht="15.75" customHeight="1">
      <c r="B141" s="261" t="s">
        <v>102</v>
      </c>
      <c r="C141" s="273">
        <f>'DPCH DC Assumptions'!D171*'DPCH DC Assumptions'!D104*12</f>
        <v>10620</v>
      </c>
    </row>
    <row r="142" spans="2:4" ht="15.75" customHeight="1">
      <c r="B142" s="261" t="s">
        <v>103</v>
      </c>
      <c r="C142" s="150">
        <v>0</v>
      </c>
    </row>
    <row r="143" spans="2:4" ht="15.75" customHeight="1">
      <c r="B143" s="261" t="s">
        <v>104</v>
      </c>
      <c r="C143" s="150"/>
    </row>
    <row r="144" spans="2:4" ht="15.75" customHeight="1">
      <c r="B144" s="261" t="s">
        <v>230</v>
      </c>
      <c r="C144" s="150">
        <f>'DPCH DC Assumptions'!D174</f>
        <v>1500</v>
      </c>
    </row>
    <row r="145" spans="1:10" ht="15.75" customHeight="1">
      <c r="B145" s="261" t="s">
        <v>105</v>
      </c>
      <c r="C145" s="150">
        <f>'DPCH DC Assumptions'!D175</f>
        <v>0</v>
      </c>
    </row>
    <row r="146" spans="1:10" ht="15.75" customHeight="1">
      <c r="A146" s="58"/>
      <c r="B146" s="261" t="s">
        <v>231</v>
      </c>
      <c r="C146" s="150">
        <f>'DPCH DC Assumptions'!D179*SUM('DPCH DC Assumptions'!D91:D94)</f>
        <v>39955</v>
      </c>
      <c r="D146" s="15"/>
      <c r="E146" s="15"/>
    </row>
    <row r="147" spans="1:10" ht="15.75" customHeight="1">
      <c r="B147" s="261" t="s">
        <v>232</v>
      </c>
      <c r="C147" s="150">
        <f>'DPCH DC Assumptions'!D176*('DPCH DC Budget Detail'!C38+'DPCH DC Budget Detail'!C39+'DPCH DC Budget Detail'!C40+'DPCH DC Budget Detail'!C41+'DPCH DC Budget Detail'!C42+C43+C44)</f>
        <v>66870.86</v>
      </c>
      <c r="D147" s="14" t="s">
        <v>456</v>
      </c>
      <c r="E147" s="14"/>
      <c r="F147" s="14"/>
      <c r="G147" s="14"/>
      <c r="H147" s="14"/>
    </row>
    <row r="148" spans="1:10" ht="15.75" customHeight="1">
      <c r="B148" s="261" t="s">
        <v>107</v>
      </c>
      <c r="C148" s="150">
        <f>'DPCH DC Assumptions'!D177*(SUM(C38:C44)+C51+C54+C56+C57)</f>
        <v>1049677.6499999999</v>
      </c>
      <c r="D148" s="1" t="s">
        <v>455</v>
      </c>
    </row>
    <row r="149" spans="1:10" ht="44" customHeight="1">
      <c r="B149" s="261" t="s">
        <v>438</v>
      </c>
      <c r="C149" s="347">
        <f>'DPCH DC Assumptions'!D255*('DPCH DC Budget Detail'!C48-'DPCH DC Budget Detail'!C45-C47)</f>
        <v>48509.33</v>
      </c>
      <c r="D149" s="346"/>
      <c r="E149" s="14"/>
      <c r="F149" s="14"/>
      <c r="G149" s="14"/>
      <c r="H149" s="14"/>
      <c r="I149" s="14"/>
      <c r="J149" s="14"/>
    </row>
    <row r="150" spans="1:10" ht="15.75" customHeight="1">
      <c r="A150" s="59"/>
      <c r="B150" s="261" t="s">
        <v>439</v>
      </c>
      <c r="C150" s="150">
        <f>'DPCH DC Assumptions'!D178*(1-'DPCH DC Assumptions'!D255)</f>
        <v>1058739.7</v>
      </c>
      <c r="D150" s="13" t="s">
        <v>457</v>
      </c>
      <c r="E150" s="348"/>
      <c r="F150" s="13"/>
      <c r="G150" s="14"/>
      <c r="H150" s="13"/>
      <c r="I150" s="13"/>
      <c r="J150" s="13"/>
    </row>
    <row r="151" spans="1:10" ht="15.75" customHeight="1" thickBot="1">
      <c r="B151" s="279" t="s">
        <v>190</v>
      </c>
      <c r="C151" s="309">
        <f>SUM(C139:C150)</f>
        <v>2318622.54</v>
      </c>
    </row>
    <row r="152" spans="1:10" ht="15.75" customHeight="1" thickBot="1">
      <c r="B152" s="261"/>
      <c r="C152" s="150"/>
    </row>
    <row r="153" spans="1:10" ht="15.75" customHeight="1">
      <c r="B153" s="259" t="s">
        <v>108</v>
      </c>
      <c r="C153" s="260"/>
      <c r="D153" s="1" t="s">
        <v>458</v>
      </c>
    </row>
    <row r="154" spans="1:10" ht="15.75" customHeight="1">
      <c r="B154" s="261" t="s">
        <v>109</v>
      </c>
      <c r="C154" s="273">
        <f>'DPCH DC Assumptions'!D182*'DPCH DC Assumptions'!D104</f>
        <v>35400</v>
      </c>
    </row>
    <row r="155" spans="1:10" ht="15.75" customHeight="1">
      <c r="B155" s="261" t="s">
        <v>440</v>
      </c>
      <c r="C155" s="273">
        <f>'DPCH DC Assumptions'!D183*'DPCH DC Assumptions'!D104</f>
        <v>35400</v>
      </c>
    </row>
    <row r="156" spans="1:10" ht="15.75" customHeight="1">
      <c r="B156" s="261" t="s">
        <v>111</v>
      </c>
      <c r="C156" s="273">
        <f>'DPCH DC Assumptions'!D184*'DPCH DC Assumptions'!D104</f>
        <v>59000</v>
      </c>
    </row>
    <row r="157" spans="1:10" ht="15.75" customHeight="1">
      <c r="B157" s="261" t="s">
        <v>112</v>
      </c>
      <c r="C157" s="150">
        <f>'DPCH DC Assumptions'!D185*'DPCH DC Assumptions'!D104</f>
        <v>20650</v>
      </c>
    </row>
    <row r="158" spans="1:10" ht="15.75" customHeight="1">
      <c r="B158" s="261" t="s">
        <v>233</v>
      </c>
      <c r="C158" s="150">
        <v>2000</v>
      </c>
    </row>
    <row r="159" spans="1:10" ht="15.75" customHeight="1">
      <c r="B159" s="261" t="s">
        <v>113</v>
      </c>
      <c r="C159" s="150">
        <f>'DPCH DC Assumptions'!D187</f>
        <v>5000</v>
      </c>
    </row>
    <row r="160" spans="1:10" ht="15.75" customHeight="1" thickBot="1">
      <c r="B160" s="279" t="s">
        <v>191</v>
      </c>
      <c r="C160" s="309">
        <f t="shared" ref="C160" si="21">SUM(C154:C159)</f>
        <v>157450</v>
      </c>
    </row>
    <row r="161" spans="2:3" ht="15.75" customHeight="1" thickBot="1">
      <c r="B161" s="261"/>
      <c r="C161" s="150"/>
    </row>
    <row r="162" spans="2:3" ht="15.75" customHeight="1">
      <c r="B162" s="259" t="s">
        <v>114</v>
      </c>
      <c r="C162" s="260"/>
    </row>
    <row r="163" spans="2:3" ht="15.75" customHeight="1">
      <c r="B163" s="261" t="s">
        <v>115</v>
      </c>
      <c r="C163" s="150">
        <f>'DPCH DC Assumptions'!D190</f>
        <v>1000</v>
      </c>
    </row>
    <row r="164" spans="2:3" ht="15.75" customHeight="1">
      <c r="B164" s="261" t="s">
        <v>116</v>
      </c>
      <c r="C164" s="150">
        <f>'DPCH DC Assumptions'!D191</f>
        <v>6000</v>
      </c>
    </row>
    <row r="165" spans="2:3" ht="15.75" customHeight="1">
      <c r="B165" s="261" t="s">
        <v>117</v>
      </c>
      <c r="C165" s="150">
        <f>'DPCH DC Assumptions'!D192</f>
        <v>0</v>
      </c>
    </row>
    <row r="166" spans="2:3" ht="15.75" customHeight="1">
      <c r="B166" s="261" t="s">
        <v>118</v>
      </c>
      <c r="C166" s="150">
        <v>1000</v>
      </c>
    </row>
    <row r="167" spans="2:3" ht="15.75" customHeight="1" thickBot="1">
      <c r="B167" s="279" t="s">
        <v>192</v>
      </c>
      <c r="C167" s="309">
        <f t="shared" ref="C167" si="22">SUM(C163:C166)</f>
        <v>8000</v>
      </c>
    </row>
    <row r="168" spans="2:3" ht="15.75" customHeight="1" thickBot="1">
      <c r="B168" s="261"/>
      <c r="C168" s="150"/>
    </row>
    <row r="169" spans="2:3" ht="15.75" customHeight="1">
      <c r="B169" s="259" t="s">
        <v>119</v>
      </c>
      <c r="C169" s="260"/>
    </row>
    <row r="170" spans="2:3" ht="15.75" customHeight="1">
      <c r="B170" s="261" t="s">
        <v>120</v>
      </c>
      <c r="C170" s="150">
        <f>'DPCH DC Assumptions'!D196</f>
        <v>0</v>
      </c>
    </row>
    <row r="171" spans="2:3" ht="15.75" customHeight="1">
      <c r="B171" s="261" t="s">
        <v>121</v>
      </c>
      <c r="C171" s="150">
        <f>'DPCH DC Assumptions'!D197</f>
        <v>0</v>
      </c>
    </row>
    <row r="172" spans="2:3" ht="15.75" customHeight="1" thickBot="1">
      <c r="B172" s="279" t="s">
        <v>193</v>
      </c>
      <c r="C172" s="309">
        <f t="shared" ref="C172" si="23">SUM(C170:C171)</f>
        <v>0</v>
      </c>
    </row>
    <row r="173" spans="2:3" ht="15.75" customHeight="1" thickBot="1">
      <c r="B173" s="261"/>
      <c r="C173" s="150"/>
    </row>
    <row r="174" spans="2:3" ht="15.75" customHeight="1">
      <c r="B174" s="259" t="s">
        <v>122</v>
      </c>
      <c r="C174" s="260"/>
    </row>
    <row r="175" spans="2:3" ht="15.75" customHeight="1">
      <c r="B175" s="261" t="s">
        <v>123</v>
      </c>
      <c r="C175" s="273">
        <f>'DPCH DC Assumptions'!D200*'DPCH DC Assumptions'!D$87</f>
        <v>68750</v>
      </c>
    </row>
    <row r="176" spans="2:3" ht="15.75" customHeight="1">
      <c r="B176" s="261" t="s">
        <v>124</v>
      </c>
      <c r="C176" s="273">
        <f>'DPCH DC Assumptions'!D201*'DPCH DC Assumptions'!D$87</f>
        <v>5500</v>
      </c>
    </row>
    <row r="177" spans="2:6" ht="15.75" customHeight="1">
      <c r="B177" s="261" t="s">
        <v>234</v>
      </c>
      <c r="C177" s="273">
        <f>'DPCH DC Assumptions'!D202*'DPCH DC Assumptions'!D87</f>
        <v>8250</v>
      </c>
    </row>
    <row r="178" spans="2:6" ht="15.75" customHeight="1">
      <c r="B178" s="261" t="s">
        <v>125</v>
      </c>
      <c r="C178" s="273">
        <f>'DPCH DC Assumptions'!D203*'DPCH DC Assumptions'!D87</f>
        <v>0</v>
      </c>
    </row>
    <row r="179" spans="2:6" ht="15.75" customHeight="1">
      <c r="B179" s="261" t="s">
        <v>126</v>
      </c>
      <c r="C179" s="273">
        <f>'DPCH DC Assumptions'!D204</f>
        <v>0</v>
      </c>
    </row>
    <row r="180" spans="2:6" ht="15.75" customHeight="1">
      <c r="B180" s="261" t="s">
        <v>127</v>
      </c>
      <c r="C180" s="273">
        <f>'DPCH DC Assumptions'!D205*'DPCH DC Assumptions'!D87</f>
        <v>8250</v>
      </c>
    </row>
    <row r="181" spans="2:6" ht="15.75" customHeight="1">
      <c r="B181" s="261" t="s">
        <v>128</v>
      </c>
      <c r="C181" s="273">
        <f>'DPCH DC Assumptions'!D206*'DPCH DC Assumptions'!D87</f>
        <v>63250</v>
      </c>
    </row>
    <row r="182" spans="2:6" ht="15.75" customHeight="1">
      <c r="B182" s="261" t="s">
        <v>129</v>
      </c>
      <c r="C182" s="273">
        <f>'DPCH DC Assumptions'!D207*'DPCH DC Assumptions'!D$87</f>
        <v>35750</v>
      </c>
    </row>
    <row r="183" spans="2:6" ht="15.75" customHeight="1">
      <c r="B183" s="261" t="s">
        <v>441</v>
      </c>
      <c r="C183" s="273">
        <f>'DPCH DC Assumptions'!D208</f>
        <v>15000</v>
      </c>
      <c r="D183" s="56"/>
      <c r="E183" s="56"/>
      <c r="F183" s="56"/>
    </row>
    <row r="184" spans="2:6" ht="15.75" customHeight="1">
      <c r="B184" s="261" t="s">
        <v>236</v>
      </c>
      <c r="C184" s="273">
        <f>'DPCH DC Assumptions'!D209</f>
        <v>25000</v>
      </c>
      <c r="D184" s="56"/>
      <c r="E184" s="56"/>
      <c r="F184" s="56"/>
    </row>
    <row r="185" spans="2:6" ht="15.75" customHeight="1">
      <c r="B185" s="261" t="s">
        <v>194</v>
      </c>
      <c r="C185" s="150">
        <f>'DPCH DC Assumptions'!D218*(('DPCH DC Assumptions'!D210*'DPCH DC Assumptions'!D56)+('DPCH DC Assumptions'!D211*'DPCH DC Assumptions'!D57)+('DPCH DC Assumptions'!D212*'DPCH DC Assumptions'!D58)+('DPCH DC Assumptions'!D213*'DPCH DC Assumptions'!D59)+('DPCH DC Assumptions'!D214*'DPCH DC Assumptions'!D60)+('DPCH DC Assumptions'!D215*'DPCH DC Assumptions'!D61)+('DPCH DC Assumptions'!D216*'DPCH DC Assumptions'!D62))</f>
        <v>54000</v>
      </c>
    </row>
    <row r="186" spans="2:6" ht="15.75" customHeight="1">
      <c r="B186" s="261" t="s">
        <v>130</v>
      </c>
      <c r="C186" s="273">
        <f>'DPCH DC Assumptions'!D219</f>
        <v>5000</v>
      </c>
    </row>
    <row r="187" spans="2:6" ht="15.75" customHeight="1">
      <c r="B187" s="261" t="s">
        <v>131</v>
      </c>
      <c r="C187" s="273">
        <f>'DPCH DC Assumptions'!D220*1</f>
        <v>2000</v>
      </c>
    </row>
    <row r="188" spans="2:6" ht="15.75" customHeight="1">
      <c r="B188" s="261" t="s">
        <v>132</v>
      </c>
      <c r="C188" s="347">
        <f>'DPCH DC Assumptions'!D221*(C38+C39+C40+C41+C42+C44)</f>
        <v>66870.86</v>
      </c>
      <c r="D188" s="1" t="s">
        <v>459</v>
      </c>
    </row>
    <row r="189" spans="2:6" ht="15.75" customHeight="1">
      <c r="B189" s="261" t="s">
        <v>133</v>
      </c>
      <c r="C189" s="273">
        <f>'DPCH DC Assumptions'!D222*12</f>
        <v>60000</v>
      </c>
    </row>
    <row r="190" spans="2:6" ht="15.75" customHeight="1">
      <c r="B190" s="261" t="s">
        <v>134</v>
      </c>
      <c r="C190" s="273">
        <f>'DPCH DC Assumptions'!D223*12</f>
        <v>60000</v>
      </c>
    </row>
    <row r="191" spans="2:6" ht="15.75" customHeight="1">
      <c r="B191" s="261" t="s">
        <v>135</v>
      </c>
      <c r="C191" s="273">
        <f>'DPCH DC Assumptions'!D224</f>
        <v>1000</v>
      </c>
    </row>
    <row r="192" spans="2:6" ht="15.75" customHeight="1">
      <c r="B192" s="261" t="s">
        <v>195</v>
      </c>
      <c r="C192" s="273">
        <f>'DPCH DC Assumptions'!D225</f>
        <v>6000</v>
      </c>
    </row>
    <row r="193" spans="1:9" ht="15.75" customHeight="1" thickBot="1">
      <c r="B193" s="279" t="s">
        <v>196</v>
      </c>
      <c r="C193" s="309">
        <f>SUM(C175:C192)</f>
        <v>484620.86</v>
      </c>
    </row>
    <row r="194" spans="1:9" ht="15.75" customHeight="1" thickBot="1">
      <c r="B194" s="261"/>
      <c r="C194" s="150"/>
    </row>
    <row r="195" spans="1:9" ht="15.75" customHeight="1">
      <c r="B195" s="259" t="s">
        <v>137</v>
      </c>
      <c r="C195" s="260"/>
    </row>
    <row r="196" spans="1:9" ht="15.75" customHeight="1">
      <c r="A196" s="13"/>
      <c r="B196" s="261" t="s">
        <v>138</v>
      </c>
      <c r="C196" s="150">
        <f>'DPCH DC Assumptions'!D228</f>
        <v>1800000</v>
      </c>
      <c r="D196" s="14" t="s">
        <v>460</v>
      </c>
      <c r="E196" s="54"/>
      <c r="F196" s="54"/>
      <c r="G196" s="13"/>
      <c r="H196" s="13"/>
      <c r="I196" s="13"/>
    </row>
    <row r="197" spans="1:9" ht="15.75" customHeight="1">
      <c r="B197" s="261" t="s">
        <v>139</v>
      </c>
      <c r="C197" s="150">
        <f>'DPCH DC Assumptions'!D229*12</f>
        <v>132000</v>
      </c>
      <c r="D197" s="15"/>
      <c r="E197" s="15"/>
    </row>
    <row r="198" spans="1:9" ht="15.75" customHeight="1">
      <c r="B198" s="261" t="s">
        <v>237</v>
      </c>
      <c r="C198" s="150">
        <f>'DPCH DC Assumptions'!D230*12</f>
        <v>120000</v>
      </c>
    </row>
    <row r="199" spans="1:9" ht="15.75" customHeight="1">
      <c r="B199" s="261" t="s">
        <v>140</v>
      </c>
      <c r="C199" s="150">
        <f>'DPCH DC Assumptions'!D231*12</f>
        <v>120000</v>
      </c>
    </row>
    <row r="200" spans="1:9" ht="15.75" customHeight="1">
      <c r="B200" s="261" t="s">
        <v>141</v>
      </c>
      <c r="C200" s="150">
        <f>'DPCH DC Assumptions'!D232</f>
        <v>223000</v>
      </c>
    </row>
    <row r="201" spans="1:9" ht="15.75" customHeight="1" thickBot="1">
      <c r="B201" s="279" t="s">
        <v>197</v>
      </c>
      <c r="C201" s="309">
        <f>SUM(C196:C200)</f>
        <v>2395000</v>
      </c>
    </row>
    <row r="202" spans="1:9" ht="15.75" customHeight="1" thickBot="1">
      <c r="B202" s="261"/>
      <c r="C202" s="150"/>
    </row>
    <row r="203" spans="1:9" ht="15.75" customHeight="1">
      <c r="B203" s="259" t="s">
        <v>142</v>
      </c>
      <c r="C203" s="260"/>
    </row>
    <row r="204" spans="1:9" ht="15.75" customHeight="1">
      <c r="B204" s="261" t="s">
        <v>143</v>
      </c>
      <c r="C204" s="273">
        <f>'DPCH DC Assumptions'!D235*'DPCH DC Assumptions'!D104*12</f>
        <v>35400</v>
      </c>
    </row>
    <row r="205" spans="1:9" ht="15.75" customHeight="1">
      <c r="B205" s="261" t="s">
        <v>145</v>
      </c>
      <c r="C205" s="150">
        <f>'DPCH DC Assumptions'!D236</f>
        <v>23600</v>
      </c>
    </row>
    <row r="206" spans="1:9" ht="15.75" customHeight="1">
      <c r="B206" s="261" t="s">
        <v>146</v>
      </c>
      <c r="C206" s="150">
        <f>'DPCH DC Assumptions'!D237*12</f>
        <v>54000</v>
      </c>
      <c r="D206" s="56"/>
    </row>
    <row r="207" spans="1:9" ht="15.75" customHeight="1">
      <c r="B207" s="261" t="s">
        <v>238</v>
      </c>
      <c r="C207" s="150">
        <f>'DPCH DC Assumptions'!D238*'DPCH DC Assumptions'!D73</f>
        <v>44000</v>
      </c>
    </row>
    <row r="208" spans="1:9" ht="15.75" customHeight="1" thickBot="1">
      <c r="B208" s="279" t="s">
        <v>198</v>
      </c>
      <c r="C208" s="309">
        <f t="shared" ref="C208" si="24">SUM(C204:C207)</f>
        <v>157000</v>
      </c>
    </row>
    <row r="209" spans="1:6" ht="15.75" customHeight="1" thickBot="1">
      <c r="B209" s="261"/>
      <c r="C209" s="150"/>
    </row>
    <row r="210" spans="1:6" ht="15.75" customHeight="1" thickBot="1">
      <c r="B210" s="310" t="s">
        <v>148</v>
      </c>
      <c r="C210" s="311">
        <f>C79*'DPCH DC Assumptions'!D240</f>
        <v>111432.86514791666</v>
      </c>
    </row>
    <row r="211" spans="1:6" ht="15.75" customHeight="1" thickBot="1">
      <c r="B211" s="147"/>
      <c r="C211" s="150"/>
    </row>
    <row r="212" spans="1:6" ht="15.75" customHeight="1" thickBot="1">
      <c r="B212" s="310" t="s">
        <v>149</v>
      </c>
      <c r="C212" s="312">
        <f>'DPCH DC Assumptions'!D242</f>
        <v>14700</v>
      </c>
      <c r="D212" s="55"/>
      <c r="E212" s="15"/>
      <c r="F212" s="15"/>
    </row>
    <row r="213" spans="1:6" ht="15.75" customHeight="1" thickBot="1">
      <c r="B213" s="147"/>
      <c r="C213" s="150"/>
    </row>
    <row r="214" spans="1:6" ht="15.75" customHeight="1" thickBot="1">
      <c r="B214" s="313" t="s">
        <v>199</v>
      </c>
      <c r="C214" s="314">
        <f>C87+C98+C116+C136+C151+C160+C167+C172+C193+C201+C208+C210+C212</f>
        <v>11119947.184787916</v>
      </c>
    </row>
    <row r="215" spans="1:6" ht="15.75" customHeight="1" thickBot="1">
      <c r="B215" s="274"/>
      <c r="C215" s="275"/>
    </row>
    <row r="216" spans="1:6" ht="15.75" customHeight="1" thickBot="1">
      <c r="B216" s="60"/>
      <c r="C216" s="61"/>
    </row>
    <row r="217" spans="1:6" ht="15.75" customHeight="1" thickBot="1">
      <c r="A217" s="276"/>
      <c r="B217" s="277" t="s">
        <v>200</v>
      </c>
      <c r="C217" s="278">
        <f>C79-C214</f>
        <v>23339.330003749579</v>
      </c>
    </row>
    <row r="218" spans="1:6" ht="15.75" customHeight="1">
      <c r="C218" s="42"/>
    </row>
    <row r="219" spans="1:6" ht="15.75" customHeight="1">
      <c r="A219" s="62"/>
      <c r="B219" s="49"/>
      <c r="C219" s="50"/>
    </row>
  </sheetData>
  <phoneticPr fontId="16" type="noConversion"/>
  <pageMargins left="0.7" right="0.7" top="0.75" bottom="0.75" header="0.3" footer="0.3"/>
  <pageSetup scale="72" fitToHeight="4" orientation="portrait"/>
  <rowBreaks count="3" manualBreakCount="3">
    <brk id="31" max="3" man="1"/>
    <brk id="80" max="3" man="1"/>
    <brk id="152" max="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B1:G269"/>
  <sheetViews>
    <sheetView topLeftCell="B1" zoomScale="200" zoomScaleNormal="200" zoomScalePageLayoutView="200" workbookViewId="0">
      <selection activeCell="D126" sqref="D126"/>
    </sheetView>
  </sheetViews>
  <sheetFormatPr baseColWidth="10" defaultColWidth="8.83203125" defaultRowHeight="15" x14ac:dyDescent="0"/>
  <cols>
    <col min="1" max="1" width="0" style="63" hidden="1" customWidth="1"/>
    <col min="2" max="2" width="3" style="63" customWidth="1"/>
    <col min="3" max="3" width="41.5" style="63" customWidth="1"/>
    <col min="4" max="4" width="13.5" style="64" customWidth="1"/>
    <col min="5" max="5" width="41.83203125" style="63" customWidth="1"/>
    <col min="6" max="6" width="18.5" style="63" customWidth="1"/>
    <col min="7" max="7" width="12.83203125" style="63" bestFit="1" customWidth="1"/>
    <col min="8" max="16384" width="8.83203125" style="63"/>
  </cols>
  <sheetData>
    <row r="1" spans="3:5" ht="29" customHeight="1">
      <c r="C1" s="242" t="s">
        <v>344</v>
      </c>
      <c r="D1" s="138"/>
      <c r="E1" s="138"/>
    </row>
    <row r="2" spans="3:5" ht="12.75" customHeight="1">
      <c r="C2" s="66"/>
      <c r="E2" s="65"/>
    </row>
    <row r="3" spans="3:5" ht="12.75" customHeight="1">
      <c r="C3" s="29" t="s">
        <v>26</v>
      </c>
      <c r="E3" s="67"/>
    </row>
    <row r="4" spans="3:5" ht="12" customHeight="1">
      <c r="C4" s="29" t="s">
        <v>27</v>
      </c>
      <c r="E4" s="67"/>
    </row>
    <row r="5" spans="3:5" ht="12" customHeight="1">
      <c r="C5" s="68"/>
      <c r="D5" s="31"/>
      <c r="E5" s="67"/>
    </row>
    <row r="6" spans="3:5" ht="18" customHeight="1" thickBot="1">
      <c r="C6" s="145" t="s">
        <v>28</v>
      </c>
      <c r="D6" s="227"/>
      <c r="E6" s="69" t="s">
        <v>240</v>
      </c>
    </row>
    <row r="7" spans="3:5" ht="18" customHeight="1">
      <c r="C7" s="228" t="s">
        <v>0</v>
      </c>
      <c r="D7" s="229"/>
      <c r="E7" s="226"/>
    </row>
    <row r="8" spans="3:5" s="67" customFormat="1" ht="12">
      <c r="C8" s="195" t="s">
        <v>241</v>
      </c>
      <c r="D8" s="230">
        <v>12719</v>
      </c>
      <c r="E8" s="71" t="s">
        <v>345</v>
      </c>
    </row>
    <row r="9" spans="3:5" s="67" customFormat="1" ht="12">
      <c r="C9" s="195" t="s">
        <v>242</v>
      </c>
      <c r="D9" s="230">
        <v>12340</v>
      </c>
      <c r="E9" s="71" t="s">
        <v>345</v>
      </c>
    </row>
    <row r="10" spans="3:5" s="67" customFormat="1" ht="12">
      <c r="C10" s="195"/>
      <c r="D10" s="230"/>
      <c r="E10" s="71"/>
    </row>
    <row r="11" spans="3:5" s="67" customFormat="1" ht="12">
      <c r="C11" s="195" t="s">
        <v>243</v>
      </c>
      <c r="D11" s="230">
        <v>12340</v>
      </c>
      <c r="E11" s="71" t="s">
        <v>345</v>
      </c>
    </row>
    <row r="12" spans="3:5" s="67" customFormat="1" ht="12">
      <c r="C12" s="195" t="s">
        <v>244</v>
      </c>
      <c r="D12" s="230">
        <v>9492</v>
      </c>
      <c r="E12" s="71" t="s">
        <v>345</v>
      </c>
    </row>
    <row r="13" spans="3:5" s="67" customFormat="1" ht="12">
      <c r="C13" s="195" t="s">
        <v>245</v>
      </c>
      <c r="D13" s="230">
        <v>10251</v>
      </c>
      <c r="E13" s="71" t="s">
        <v>345</v>
      </c>
    </row>
    <row r="14" spans="3:5" s="67" customFormat="1" ht="12">
      <c r="C14" s="195"/>
      <c r="D14" s="230"/>
      <c r="E14" s="71"/>
    </row>
    <row r="15" spans="3:5" s="67" customFormat="1" ht="12">
      <c r="C15" s="195" t="s">
        <v>246</v>
      </c>
      <c r="D15" s="230">
        <v>9207</v>
      </c>
      <c r="E15" s="71" t="s">
        <v>345</v>
      </c>
    </row>
    <row r="16" spans="3:5" s="67" customFormat="1" ht="12">
      <c r="C16" s="195" t="s">
        <v>247</v>
      </c>
      <c r="D16" s="230">
        <v>11390</v>
      </c>
      <c r="E16" s="71" t="s">
        <v>345</v>
      </c>
    </row>
    <row r="17" spans="2:7" s="67" customFormat="1" ht="12">
      <c r="C17" s="195" t="s">
        <v>248</v>
      </c>
      <c r="D17" s="230">
        <v>18699</v>
      </c>
      <c r="E17" s="71" t="s">
        <v>345</v>
      </c>
    </row>
    <row r="18" spans="2:7" s="67" customFormat="1" ht="12">
      <c r="C18" s="195" t="s">
        <v>249</v>
      </c>
      <c r="D18" s="230">
        <v>33127</v>
      </c>
      <c r="E18" s="71" t="s">
        <v>345</v>
      </c>
    </row>
    <row r="19" spans="2:7" s="67" customFormat="1" ht="12">
      <c r="C19" s="195"/>
      <c r="D19" s="230"/>
      <c r="E19" s="71"/>
    </row>
    <row r="20" spans="2:7" s="67" customFormat="1" ht="12">
      <c r="C20" s="195" t="s">
        <v>210</v>
      </c>
      <c r="D20" s="340">
        <f>3650</f>
        <v>3650</v>
      </c>
      <c r="E20" s="71" t="s">
        <v>345</v>
      </c>
    </row>
    <row r="21" spans="2:7" s="67" customFormat="1" ht="12">
      <c r="C21" s="195" t="s">
        <v>29</v>
      </c>
      <c r="D21" s="230">
        <f>1295</f>
        <v>1295</v>
      </c>
      <c r="E21" s="71"/>
    </row>
    <row r="22" spans="2:7" s="67" customFormat="1" ht="12">
      <c r="C22" s="195"/>
      <c r="D22" s="231"/>
      <c r="E22" s="71"/>
    </row>
    <row r="23" spans="2:7" s="67" customFormat="1" ht="12">
      <c r="C23" s="195" t="s">
        <v>250</v>
      </c>
      <c r="D23" s="230">
        <v>4651</v>
      </c>
      <c r="E23" s="71" t="s">
        <v>345</v>
      </c>
    </row>
    <row r="24" spans="2:7" s="67" customFormat="1" ht="12">
      <c r="C24" s="195" t="s">
        <v>251</v>
      </c>
      <c r="D24" s="230">
        <v>3072</v>
      </c>
      <c r="E24" s="71" t="s">
        <v>345</v>
      </c>
    </row>
    <row r="25" spans="2:7" s="67" customFormat="1" ht="12">
      <c r="B25" s="73"/>
      <c r="C25" s="195" t="s">
        <v>211</v>
      </c>
      <c r="D25" s="340">
        <v>1551</v>
      </c>
      <c r="E25" s="71" t="s">
        <v>345</v>
      </c>
      <c r="F25" s="74"/>
      <c r="G25" s="73"/>
    </row>
    <row r="26" spans="2:7" s="67" customFormat="1" ht="12">
      <c r="C26" s="195" t="s">
        <v>214</v>
      </c>
      <c r="D26" s="230">
        <v>655</v>
      </c>
      <c r="E26" s="71" t="s">
        <v>345</v>
      </c>
    </row>
    <row r="27" spans="2:7" s="67" customFormat="1" ht="12">
      <c r="C27" s="195" t="s">
        <v>421</v>
      </c>
      <c r="D27" s="330">
        <v>214890</v>
      </c>
      <c r="E27" s="71" t="s">
        <v>422</v>
      </c>
    </row>
    <row r="28" spans="2:7" s="67" customFormat="1" ht="12">
      <c r="C28" s="195"/>
      <c r="D28" s="231"/>
      <c r="E28" s="71"/>
    </row>
    <row r="29" spans="2:7" s="67" customFormat="1" ht="12">
      <c r="C29" s="195" t="s">
        <v>30</v>
      </c>
      <c r="D29" s="231">
        <v>525</v>
      </c>
      <c r="E29" s="71"/>
    </row>
    <row r="30" spans="2:7" s="67" customFormat="1" ht="12">
      <c r="C30" s="195" t="s">
        <v>31</v>
      </c>
      <c r="D30" s="232">
        <v>0</v>
      </c>
      <c r="E30" s="71"/>
    </row>
    <row r="31" spans="2:7" s="67" customFormat="1" ht="12">
      <c r="C31" s="195" t="s">
        <v>32</v>
      </c>
      <c r="D31" s="232">
        <v>0</v>
      </c>
      <c r="E31" s="71"/>
    </row>
    <row r="32" spans="2:7" s="67" customFormat="1" ht="12">
      <c r="C32" s="195" t="s">
        <v>33</v>
      </c>
      <c r="D32" s="232">
        <v>0</v>
      </c>
      <c r="E32" s="71"/>
    </row>
    <row r="33" spans="2:6" s="67" customFormat="1" ht="12">
      <c r="C33" s="195" t="s">
        <v>34</v>
      </c>
      <c r="D33" s="232">
        <v>0</v>
      </c>
      <c r="E33" s="71"/>
    </row>
    <row r="34" spans="2:6" s="67" customFormat="1" ht="12">
      <c r="B34" s="71"/>
      <c r="C34" s="195" t="s">
        <v>394</v>
      </c>
      <c r="D34" s="330">
        <f>175000</f>
        <v>175000</v>
      </c>
      <c r="E34" s="344" t="s">
        <v>423</v>
      </c>
    </row>
    <row r="35" spans="2:6" s="67" customFormat="1" ht="12">
      <c r="C35" s="195" t="s">
        <v>35</v>
      </c>
      <c r="D35" s="230">
        <f>0</f>
        <v>0</v>
      </c>
      <c r="E35" s="71"/>
    </row>
    <row r="36" spans="2:6" s="67" customFormat="1" ht="12">
      <c r="C36" s="195" t="s">
        <v>36</v>
      </c>
      <c r="D36" s="230">
        <v>0</v>
      </c>
      <c r="E36" s="71"/>
    </row>
    <row r="37" spans="2:6" s="67" customFormat="1" ht="12">
      <c r="C37" s="195" t="s">
        <v>37</v>
      </c>
      <c r="D37" s="330">
        <v>40000</v>
      </c>
      <c r="E37" s="71" t="s">
        <v>395</v>
      </c>
    </row>
    <row r="38" spans="2:6" s="67" customFormat="1" ht="12">
      <c r="C38" s="195" t="s">
        <v>38</v>
      </c>
      <c r="D38" s="230">
        <v>0</v>
      </c>
      <c r="E38" s="71"/>
    </row>
    <row r="39" spans="2:6" s="67" customFormat="1" ht="13" customHeight="1">
      <c r="C39" s="195" t="s">
        <v>396</v>
      </c>
      <c r="D39" s="330">
        <v>67000</v>
      </c>
      <c r="E39" s="345" t="s">
        <v>424</v>
      </c>
    </row>
    <row r="40" spans="2:6" s="67" customFormat="1" ht="12">
      <c r="C40" s="195" t="s">
        <v>170</v>
      </c>
      <c r="D40" s="230">
        <v>0</v>
      </c>
      <c r="E40" s="71"/>
    </row>
    <row r="41" spans="2:6" s="67" customFormat="1" ht="12">
      <c r="C41" s="195" t="s">
        <v>39</v>
      </c>
      <c r="D41" s="230">
        <v>0</v>
      </c>
      <c r="E41" s="71"/>
    </row>
    <row r="42" spans="2:6" s="67" customFormat="1" ht="12">
      <c r="C42" s="195" t="s">
        <v>40</v>
      </c>
      <c r="D42" s="231"/>
      <c r="E42" s="71"/>
    </row>
    <row r="43" spans="2:6" s="67" customFormat="1" ht="12">
      <c r="C43" s="195" t="s">
        <v>41</v>
      </c>
      <c r="D43" s="233">
        <v>0.88</v>
      </c>
      <c r="E43" s="71"/>
    </row>
    <row r="44" spans="2:6" s="67" customFormat="1" ht="12">
      <c r="C44" s="195" t="s">
        <v>42</v>
      </c>
      <c r="D44" s="234">
        <v>5.0000000000000001E-3</v>
      </c>
      <c r="E44" s="71"/>
    </row>
    <row r="45" spans="2:6" s="67" customFormat="1" ht="12">
      <c r="C45" s="195" t="s">
        <v>402</v>
      </c>
      <c r="D45" s="339">
        <v>0.88</v>
      </c>
      <c r="E45" s="71"/>
      <c r="F45" s="73"/>
    </row>
    <row r="46" spans="2:6" s="67" customFormat="1" ht="13" thickBot="1">
      <c r="C46" s="198" t="s">
        <v>43</v>
      </c>
      <c r="D46" s="235">
        <v>0</v>
      </c>
      <c r="E46" s="71"/>
    </row>
    <row r="47" spans="2:6" s="67" customFormat="1" ht="12">
      <c r="C47" s="66"/>
      <c r="D47" s="76"/>
      <c r="E47" s="77"/>
    </row>
    <row r="48" spans="2:6" s="67" customFormat="1" ht="12">
      <c r="C48" s="78" t="s">
        <v>44</v>
      </c>
      <c r="D48" s="79">
        <v>0.03</v>
      </c>
      <c r="E48" s="77"/>
    </row>
    <row r="49" spans="2:5" s="67" customFormat="1" ht="12">
      <c r="C49" s="66"/>
      <c r="D49" s="76"/>
      <c r="E49" s="77"/>
    </row>
    <row r="50" spans="2:5" s="67" customFormat="1" ht="12">
      <c r="C50" s="203" t="s">
        <v>252</v>
      </c>
      <c r="D50" s="204" t="s">
        <v>253</v>
      </c>
      <c r="E50" s="77"/>
    </row>
    <row r="51" spans="2:5" s="67" customFormat="1" ht="12">
      <c r="C51" s="205" t="s">
        <v>45</v>
      </c>
      <c r="D51" s="206">
        <v>2</v>
      </c>
      <c r="E51" s="77"/>
    </row>
    <row r="52" spans="2:5" s="67" customFormat="1" ht="12">
      <c r="C52" s="205"/>
      <c r="D52" s="206"/>
      <c r="E52" s="81" t="s">
        <v>397</v>
      </c>
    </row>
    <row r="53" spans="2:5" s="67" customFormat="1" ht="12.75" customHeight="1">
      <c r="C53" s="207" t="s">
        <v>254</v>
      </c>
      <c r="D53" s="208">
        <v>40</v>
      </c>
      <c r="E53" s="331">
        <v>36</v>
      </c>
    </row>
    <row r="54" spans="2:5" s="67" customFormat="1" ht="12">
      <c r="C54" s="209" t="s">
        <v>255</v>
      </c>
      <c r="D54" s="210">
        <v>45</v>
      </c>
      <c r="E54" s="331">
        <v>57</v>
      </c>
    </row>
    <row r="55" spans="2:5" s="67" customFormat="1" ht="12">
      <c r="C55" s="211" t="s">
        <v>256</v>
      </c>
      <c r="D55" s="212">
        <f>D53+D54</f>
        <v>85</v>
      </c>
    </row>
    <row r="56" spans="2:5" s="67" customFormat="1" ht="12">
      <c r="B56" s="67">
        <v>4</v>
      </c>
      <c r="C56" s="209" t="s">
        <v>7</v>
      </c>
      <c r="D56" s="213">
        <f>100</f>
        <v>100</v>
      </c>
      <c r="E56" s="331">
        <v>48</v>
      </c>
    </row>
    <row r="57" spans="2:5" s="67" customFormat="1" ht="12">
      <c r="B57" s="67">
        <v>4</v>
      </c>
      <c r="C57" s="209" t="s">
        <v>257</v>
      </c>
      <c r="D57" s="214">
        <v>100</v>
      </c>
      <c r="E57" s="331">
        <v>46</v>
      </c>
    </row>
    <row r="58" spans="2:5" s="67" customFormat="1" ht="12">
      <c r="B58" s="67">
        <v>4</v>
      </c>
      <c r="C58" s="209" t="s">
        <v>258</v>
      </c>
      <c r="D58" s="214">
        <v>100</v>
      </c>
      <c r="E58" s="331">
        <v>84</v>
      </c>
    </row>
    <row r="59" spans="2:5" s="67" customFormat="1" ht="12">
      <c r="B59" s="67">
        <v>4</v>
      </c>
      <c r="C59" s="209" t="s">
        <v>259</v>
      </c>
      <c r="D59" s="214">
        <v>100</v>
      </c>
      <c r="E59" s="331">
        <v>82</v>
      </c>
    </row>
    <row r="60" spans="2:5" s="67" customFormat="1" ht="12">
      <c r="B60" s="82">
        <v>2</v>
      </c>
      <c r="C60" s="215" t="s">
        <v>260</v>
      </c>
      <c r="D60" s="214">
        <v>50</v>
      </c>
      <c r="E60" s="331">
        <v>47</v>
      </c>
    </row>
    <row r="61" spans="2:5" s="67" customFormat="1" ht="12">
      <c r="B61" s="82">
        <v>2</v>
      </c>
      <c r="C61" s="215" t="s">
        <v>261</v>
      </c>
      <c r="D61" s="214">
        <v>50</v>
      </c>
      <c r="E61" s="331">
        <v>29</v>
      </c>
    </row>
    <row r="62" spans="2:5" s="67" customFormat="1" ht="12">
      <c r="B62" s="82">
        <v>2</v>
      </c>
      <c r="C62" s="215" t="s">
        <v>262</v>
      </c>
      <c r="D62" s="214">
        <v>50</v>
      </c>
      <c r="E62" s="331">
        <v>21</v>
      </c>
    </row>
    <row r="63" spans="2:5" s="67" customFormat="1" ht="12">
      <c r="B63" s="82"/>
      <c r="C63" s="215"/>
      <c r="D63" s="216"/>
      <c r="E63" s="331"/>
    </row>
    <row r="64" spans="2:5" s="67" customFormat="1" ht="12">
      <c r="B64" s="67">
        <f>SUM(B56:B62)</f>
        <v>22</v>
      </c>
      <c r="C64" s="217" t="s">
        <v>263</v>
      </c>
      <c r="D64" s="218">
        <f>SUM(D56:D63)</f>
        <v>550</v>
      </c>
      <c r="E64" s="331">
        <f>SUM(E56:E62)</f>
        <v>357</v>
      </c>
    </row>
    <row r="65" spans="3:5" s="67" customFormat="1" ht="12">
      <c r="C65" s="205"/>
      <c r="D65" s="219"/>
      <c r="E65" s="331"/>
    </row>
    <row r="66" spans="3:5" s="67" customFormat="1" ht="12">
      <c r="C66" s="203" t="s">
        <v>264</v>
      </c>
      <c r="D66" s="206">
        <f>D55+D64</f>
        <v>635</v>
      </c>
      <c r="E66" s="331">
        <f>SUM(E53:E62)</f>
        <v>450</v>
      </c>
    </row>
    <row r="67" spans="3:5" s="67" customFormat="1" ht="12" hidden="1">
      <c r="C67" s="205"/>
      <c r="D67" s="220"/>
      <c r="E67" s="77"/>
    </row>
    <row r="68" spans="3:5" s="67" customFormat="1" ht="12" hidden="1">
      <c r="C68" s="205" t="s">
        <v>265</v>
      </c>
      <c r="D68" s="221"/>
      <c r="E68" s="83"/>
    </row>
    <row r="69" spans="3:5" s="67" customFormat="1" ht="12" hidden="1">
      <c r="C69" s="205" t="s">
        <v>266</v>
      </c>
      <c r="D69" s="221"/>
      <c r="E69" s="83"/>
    </row>
    <row r="70" spans="3:5" s="67" customFormat="1" ht="12" hidden="1">
      <c r="C70" s="205"/>
      <c r="D70" s="220"/>
      <c r="E70" s="77"/>
    </row>
    <row r="71" spans="3:5" s="67" customFormat="1">
      <c r="C71" s="205"/>
      <c r="D71" s="222"/>
      <c r="E71" s="84"/>
    </row>
    <row r="72" spans="3:5" s="67" customFormat="1" ht="12">
      <c r="C72" s="205" t="s">
        <v>267</v>
      </c>
      <c r="D72" s="219">
        <f t="shared" ref="D72" si="0">D74/D73</f>
        <v>25</v>
      </c>
      <c r="E72" s="85"/>
    </row>
    <row r="73" spans="3:5" s="67" customFormat="1" ht="12">
      <c r="C73" s="205" t="s">
        <v>268</v>
      </c>
      <c r="D73" s="219">
        <f>4+4+4+4+2+2+2</f>
        <v>22</v>
      </c>
      <c r="E73" s="86"/>
    </row>
    <row r="74" spans="3:5" s="67" customFormat="1" ht="12">
      <c r="C74" s="205" t="s">
        <v>269</v>
      </c>
      <c r="D74" s="223">
        <f t="shared" ref="D74" si="1">D64</f>
        <v>550</v>
      </c>
      <c r="E74" s="84"/>
    </row>
    <row r="75" spans="3:5" s="67" customFormat="1" ht="12">
      <c r="C75" s="205"/>
      <c r="D75" s="219"/>
      <c r="E75" s="84"/>
    </row>
    <row r="76" spans="3:5" s="67" customFormat="1" ht="12" hidden="1">
      <c r="C76" s="205" t="s">
        <v>270</v>
      </c>
      <c r="D76" s="219" t="e">
        <f t="shared" ref="D76" si="2">D78/D77</f>
        <v>#REF!</v>
      </c>
      <c r="E76" s="84"/>
    </row>
    <row r="77" spans="3:5" s="67" customFormat="1" ht="12" hidden="1">
      <c r="C77" s="205" t="s">
        <v>271</v>
      </c>
      <c r="D77" s="210">
        <v>6</v>
      </c>
      <c r="E77" s="84"/>
    </row>
    <row r="78" spans="3:5" s="67" customFormat="1" ht="12" hidden="1">
      <c r="C78" s="205" t="s">
        <v>272</v>
      </c>
      <c r="D78" s="223" t="e">
        <f>#REF!</f>
        <v>#REF!</v>
      </c>
      <c r="E78" s="84"/>
    </row>
    <row r="79" spans="3:5" s="67" customFormat="1" ht="12">
      <c r="C79" s="205"/>
      <c r="D79" s="223"/>
      <c r="E79" s="86" t="s">
        <v>273</v>
      </c>
    </row>
    <row r="80" spans="3:5" s="67" customFormat="1" ht="12">
      <c r="C80" s="205" t="s">
        <v>274</v>
      </c>
      <c r="D80" s="224">
        <v>0.05</v>
      </c>
      <c r="E80" s="87" t="s">
        <v>275</v>
      </c>
    </row>
    <row r="81" spans="3:7" s="67" customFormat="1" ht="12">
      <c r="C81" s="205" t="s">
        <v>276</v>
      </c>
      <c r="D81" s="224">
        <v>0.03</v>
      </c>
      <c r="E81" s="88">
        <f>D80+D82+D81+D83</f>
        <v>0.11</v>
      </c>
    </row>
    <row r="82" spans="3:7" s="67" customFormat="1" ht="12">
      <c r="C82" s="205" t="s">
        <v>277</v>
      </c>
      <c r="D82" s="224">
        <v>0.02</v>
      </c>
      <c r="E82" s="85"/>
    </row>
    <row r="83" spans="3:7" s="67" customFormat="1" ht="12">
      <c r="C83" s="205" t="s">
        <v>278</v>
      </c>
      <c r="D83" s="224">
        <v>0.01</v>
      </c>
      <c r="E83" s="85"/>
    </row>
    <row r="84" spans="3:7" s="67" customFormat="1" ht="12">
      <c r="C84" s="205" t="s">
        <v>279</v>
      </c>
      <c r="D84" s="224">
        <v>0.03</v>
      </c>
      <c r="E84" s="72" t="s">
        <v>280</v>
      </c>
    </row>
    <row r="85" spans="3:7" s="67" customFormat="1" ht="12">
      <c r="C85" s="205" t="s">
        <v>46</v>
      </c>
      <c r="D85" s="225">
        <v>0.8</v>
      </c>
      <c r="E85" s="18"/>
    </row>
    <row r="86" spans="3:7" s="67" customFormat="1" ht="13" thickBot="1">
      <c r="C86" s="29"/>
      <c r="D86" s="80"/>
      <c r="E86" s="77"/>
    </row>
    <row r="87" spans="3:7" s="67" customFormat="1" ht="12">
      <c r="C87" s="200" t="s">
        <v>281</v>
      </c>
      <c r="D87" s="201">
        <f>D64</f>
        <v>550</v>
      </c>
      <c r="E87" s="71"/>
    </row>
    <row r="88" spans="3:7" s="67" customFormat="1" ht="12">
      <c r="C88" s="195" t="s">
        <v>47</v>
      </c>
      <c r="D88" s="196">
        <f>D87</f>
        <v>550</v>
      </c>
      <c r="E88" s="71"/>
    </row>
    <row r="89" spans="3:7" s="67" customFormat="1" ht="12">
      <c r="C89" s="195" t="s">
        <v>48</v>
      </c>
      <c r="D89" s="202">
        <f>D88/D87</f>
        <v>1</v>
      </c>
      <c r="E89" s="71"/>
    </row>
    <row r="90" spans="3:7" s="67" customFormat="1" ht="12">
      <c r="C90" s="195" t="s">
        <v>282</v>
      </c>
      <c r="D90" s="202"/>
      <c r="E90" s="71"/>
    </row>
    <row r="91" spans="3:7" s="67" customFormat="1">
      <c r="C91" s="195" t="s">
        <v>283</v>
      </c>
      <c r="D91" s="332">
        <f>ROUNDDOWN(D80*D87, 0)</f>
        <v>27</v>
      </c>
      <c r="E91" s="71"/>
    </row>
    <row r="92" spans="3:7" s="67" customFormat="1">
      <c r="C92" s="195" t="s">
        <v>284</v>
      </c>
      <c r="D92" s="333">
        <f>ROUNDUP(D81*D87, 0)</f>
        <v>17</v>
      </c>
      <c r="E92" s="71"/>
    </row>
    <row r="93" spans="3:7" s="67" customFormat="1">
      <c r="C93" s="195" t="s">
        <v>285</v>
      </c>
      <c r="D93" s="333">
        <f>ROUNDUP(D82*D87, 0)</f>
        <v>11</v>
      </c>
      <c r="E93" s="71"/>
    </row>
    <row r="94" spans="3:7" s="67" customFormat="1">
      <c r="C94" s="195" t="s">
        <v>286</v>
      </c>
      <c r="D94" s="333">
        <f>ROUNDUP(D83*D87, 0)</f>
        <v>6</v>
      </c>
      <c r="E94" s="341">
        <f>D91+D92+D93+D94</f>
        <v>61</v>
      </c>
      <c r="G94" s="67">
        <f>SUM(F91:F94)</f>
        <v>0</v>
      </c>
    </row>
    <row r="95" spans="3:7" s="67" customFormat="1" ht="16" thickBot="1">
      <c r="C95" s="198" t="s">
        <v>287</v>
      </c>
      <c r="D95" s="332">
        <f>ROUNDDOWN(D84*D87, 0)</f>
        <v>16</v>
      </c>
      <c r="E95" s="71"/>
    </row>
    <row r="96" spans="3:7" s="67" customFormat="1" ht="13" thickBot="1">
      <c r="C96" s="29"/>
      <c r="D96" s="70"/>
      <c r="E96" s="71"/>
    </row>
    <row r="97" spans="3:6" s="67" customFormat="1" ht="12">
      <c r="C97" s="193" t="s">
        <v>49</v>
      </c>
      <c r="D97" s="194"/>
      <c r="E97" s="89"/>
    </row>
    <row r="98" spans="3:6" s="67" customFormat="1" ht="12">
      <c r="C98" s="195" t="s">
        <v>288</v>
      </c>
      <c r="D98" s="196">
        <f>' DPCH DC Staffing  '!F86</f>
        <v>46</v>
      </c>
      <c r="E98" s="90"/>
    </row>
    <row r="99" spans="3:6" s="67" customFormat="1" ht="12">
      <c r="C99" s="195" t="s">
        <v>289</v>
      </c>
      <c r="D99" s="196">
        <f>' DPCH DC Staffing  '!F87</f>
        <v>58847.82608695652</v>
      </c>
      <c r="E99" s="91"/>
    </row>
    <row r="100" spans="3:6" s="67" customFormat="1" ht="12">
      <c r="C100" s="195" t="s">
        <v>290</v>
      </c>
      <c r="D100" s="196">
        <f>' DPCH DC Staffing  '!F89</f>
        <v>3</v>
      </c>
      <c r="E100" s="72"/>
    </row>
    <row r="101" spans="3:6" s="67" customFormat="1" ht="12">
      <c r="C101" s="195" t="s">
        <v>18</v>
      </c>
      <c r="D101" s="196">
        <f>' DPCH DC Staffing  '!F90</f>
        <v>102000</v>
      </c>
      <c r="E101" s="72"/>
    </row>
    <row r="102" spans="3:6" s="67" customFormat="1" ht="12">
      <c r="C102" s="195" t="s">
        <v>291</v>
      </c>
      <c r="D102" s="196">
        <f>' DPCH DC Staffing  '!F92</f>
        <v>10</v>
      </c>
      <c r="E102" s="75" t="s">
        <v>409</v>
      </c>
    </row>
    <row r="103" spans="3:6" s="67" customFormat="1" ht="12">
      <c r="C103" s="195" t="s">
        <v>292</v>
      </c>
      <c r="D103" s="196">
        <f>' DPCH DC Staffing  '!F93</f>
        <v>54000</v>
      </c>
      <c r="E103" s="72"/>
    </row>
    <row r="104" spans="3:6" s="67" customFormat="1" ht="12">
      <c r="C104" s="197" t="s">
        <v>50</v>
      </c>
      <c r="D104" s="196">
        <f>D98+D100+D102</f>
        <v>59</v>
      </c>
      <c r="E104" s="92"/>
    </row>
    <row r="105" spans="3:6" s="67" customFormat="1" ht="13" thickBot="1">
      <c r="C105" s="198" t="s">
        <v>293</v>
      </c>
      <c r="D105" s="199"/>
      <c r="E105" s="92"/>
    </row>
    <row r="106" spans="3:6" s="67" customFormat="1" ht="12">
      <c r="C106" s="29"/>
      <c r="D106" s="93"/>
      <c r="E106" s="92"/>
    </row>
    <row r="107" spans="3:6" s="67" customFormat="1" ht="12.75" customHeight="1" thickBot="1">
      <c r="C107" s="157" t="s">
        <v>1</v>
      </c>
      <c r="D107" s="95"/>
      <c r="E107" s="96"/>
    </row>
    <row r="108" spans="3:6" s="67" customFormat="1" ht="12">
      <c r="C108" s="158" t="s">
        <v>51</v>
      </c>
      <c r="D108" s="164"/>
      <c r="E108" s="97"/>
    </row>
    <row r="109" spans="3:6" s="67" customFormat="1" ht="12">
      <c r="C109" s="159" t="s">
        <v>52</v>
      </c>
      <c r="D109" s="176">
        <v>1000</v>
      </c>
      <c r="E109" s="98" t="s">
        <v>341</v>
      </c>
      <c r="F109" s="73"/>
    </row>
    <row r="110" spans="3:6" s="67" customFormat="1" ht="12">
      <c r="C110" s="159" t="s">
        <v>54</v>
      </c>
      <c r="D110" s="160">
        <f>4*2500</f>
        <v>10000</v>
      </c>
      <c r="E110" s="102" t="s">
        <v>410</v>
      </c>
    </row>
    <row r="111" spans="3:6" s="67" customFormat="1" ht="12">
      <c r="C111" s="159" t="s">
        <v>56</v>
      </c>
      <c r="D111" s="176">
        <v>5000</v>
      </c>
      <c r="E111" s="102" t="s">
        <v>411</v>
      </c>
      <c r="F111" s="73"/>
    </row>
    <row r="112" spans="3:6" s="67" customFormat="1" ht="12.75" customHeight="1">
      <c r="C112" s="159" t="s">
        <v>224</v>
      </c>
      <c r="D112" s="176">
        <v>2500</v>
      </c>
      <c r="E112" s="137" t="s">
        <v>413</v>
      </c>
    </row>
    <row r="113" spans="2:7" s="67" customFormat="1" ht="12.75" customHeight="1">
      <c r="C113" s="159" t="s">
        <v>57</v>
      </c>
      <c r="D113" s="175">
        <v>0</v>
      </c>
      <c r="E113" s="32"/>
    </row>
    <row r="114" spans="2:7" s="67" customFormat="1" ht="12.75" customHeight="1">
      <c r="C114" s="159" t="s">
        <v>58</v>
      </c>
      <c r="D114" s="176">
        <v>200</v>
      </c>
      <c r="E114" s="32" t="s">
        <v>294</v>
      </c>
    </row>
    <row r="115" spans="2:7" s="67" customFormat="1" ht="12.75" customHeight="1">
      <c r="C115" s="159" t="s">
        <v>59</v>
      </c>
      <c r="D115" s="189">
        <v>2.5</v>
      </c>
      <c r="E115" s="32"/>
    </row>
    <row r="116" spans="2:7" s="67" customFormat="1" ht="12.75" customHeight="1">
      <c r="B116" s="73"/>
      <c r="C116" s="159" t="s">
        <v>60</v>
      </c>
      <c r="D116" s="175"/>
      <c r="E116" s="32" t="s">
        <v>398</v>
      </c>
      <c r="F116" s="73"/>
      <c r="G116" s="73"/>
    </row>
    <row r="117" spans="2:7" s="67" customFormat="1" ht="12.75" customHeight="1">
      <c r="B117" s="73"/>
      <c r="C117" s="159" t="s">
        <v>61</v>
      </c>
      <c r="D117" s="176">
        <v>0</v>
      </c>
      <c r="E117" s="32" t="s">
        <v>399</v>
      </c>
      <c r="F117" s="73"/>
      <c r="G117" s="73"/>
    </row>
    <row r="118" spans="2:7" s="67" customFormat="1" ht="12.75" customHeight="1">
      <c r="C118" s="159" t="s">
        <v>295</v>
      </c>
      <c r="D118" s="176">
        <v>1000</v>
      </c>
      <c r="E118" s="32"/>
    </row>
    <row r="119" spans="2:7" s="67" customFormat="1" ht="12.75" customHeight="1" thickBot="1">
      <c r="C119" s="167" t="s">
        <v>296</v>
      </c>
      <c r="D119" s="179">
        <f>D104*0.35</f>
        <v>20.65</v>
      </c>
      <c r="E119" s="32" t="s">
        <v>400</v>
      </c>
    </row>
    <row r="120" spans="2:7" s="67" customFormat="1" ht="12.75" customHeight="1" thickBot="1">
      <c r="C120" s="48"/>
      <c r="D120" s="32"/>
      <c r="E120" s="32"/>
    </row>
    <row r="121" spans="2:7" s="67" customFormat="1" ht="12.75" customHeight="1">
      <c r="C121" s="158" t="s">
        <v>62</v>
      </c>
      <c r="D121" s="164"/>
      <c r="E121" s="99"/>
    </row>
    <row r="122" spans="2:7" s="67" customFormat="1" ht="12.75" customHeight="1">
      <c r="C122" s="159" t="s">
        <v>63</v>
      </c>
      <c r="D122" s="160">
        <v>0</v>
      </c>
      <c r="E122" s="32"/>
    </row>
    <row r="123" spans="2:7" s="67" customFormat="1" ht="12.75" customHeight="1">
      <c r="C123" s="159" t="s">
        <v>64</v>
      </c>
      <c r="D123" s="335">
        <v>0.09</v>
      </c>
      <c r="E123" s="100" t="s">
        <v>405</v>
      </c>
    </row>
    <row r="124" spans="2:7" s="67" customFormat="1" ht="12.75" customHeight="1">
      <c r="C124" s="159" t="s">
        <v>65</v>
      </c>
      <c r="D124" s="186">
        <v>6.2E-2</v>
      </c>
      <c r="E124" s="32"/>
    </row>
    <row r="125" spans="2:7" s="67" customFormat="1" ht="12.75" customHeight="1">
      <c r="C125" s="159" t="s">
        <v>66</v>
      </c>
      <c r="D125" s="187">
        <v>1.4500000000000001E-2</v>
      </c>
      <c r="E125" s="32"/>
    </row>
    <row r="126" spans="2:7" s="67" customFormat="1" ht="12">
      <c r="C126" s="159" t="s">
        <v>67</v>
      </c>
      <c r="D126" s="334">
        <v>565</v>
      </c>
      <c r="E126" s="100" t="s">
        <v>414</v>
      </c>
    </row>
    <row r="127" spans="2:7" s="67" customFormat="1" ht="12">
      <c r="C127" s="159" t="s">
        <v>68</v>
      </c>
      <c r="D127" s="176">
        <f>0</f>
        <v>0</v>
      </c>
      <c r="E127" s="32"/>
    </row>
    <row r="128" spans="2:7" s="67" customFormat="1">
      <c r="C128" s="159" t="s">
        <v>69</v>
      </c>
      <c r="D128" s="175">
        <v>464</v>
      </c>
      <c r="E128" s="283" t="s">
        <v>401</v>
      </c>
    </row>
    <row r="129" spans="3:6" s="67" customFormat="1">
      <c r="C129" s="159" t="s">
        <v>70</v>
      </c>
      <c r="D129" s="175">
        <v>1102</v>
      </c>
      <c r="E129" s="283" t="s">
        <v>401</v>
      </c>
    </row>
    <row r="130" spans="3:6" s="67" customFormat="1">
      <c r="C130" s="159" t="s">
        <v>71</v>
      </c>
      <c r="D130" s="175">
        <v>26</v>
      </c>
      <c r="E130" s="283" t="s">
        <v>401</v>
      </c>
    </row>
    <row r="131" spans="3:6" s="67" customFormat="1">
      <c r="C131" s="159" t="s">
        <v>72</v>
      </c>
      <c r="D131" s="175">
        <v>66</v>
      </c>
      <c r="E131" s="283" t="s">
        <v>401</v>
      </c>
    </row>
    <row r="132" spans="3:6" s="67" customFormat="1" ht="12">
      <c r="C132" s="159" t="s">
        <v>342</v>
      </c>
      <c r="D132" s="175">
        <v>4</v>
      </c>
      <c r="E132" s="32"/>
    </row>
    <row r="133" spans="3:6" s="67" customFormat="1" ht="12">
      <c r="C133" s="159" t="s">
        <v>73</v>
      </c>
      <c r="D133" s="336">
        <v>0.75</v>
      </c>
      <c r="E133" s="32" t="s">
        <v>415</v>
      </c>
    </row>
    <row r="134" spans="3:6" s="67" customFormat="1" ht="12">
      <c r="C134" s="159" t="s">
        <v>74</v>
      </c>
      <c r="D134" s="182">
        <v>0.15</v>
      </c>
      <c r="E134" s="32"/>
    </row>
    <row r="135" spans="3:6" s="67" customFormat="1" ht="12">
      <c r="C135" s="159" t="s">
        <v>297</v>
      </c>
      <c r="D135" s="177">
        <v>0.05</v>
      </c>
      <c r="E135" s="32"/>
    </row>
    <row r="136" spans="3:6" s="67" customFormat="1" ht="12">
      <c r="C136" s="159" t="s">
        <v>75</v>
      </c>
      <c r="D136" s="336">
        <v>0.1</v>
      </c>
      <c r="E136" s="99" t="s">
        <v>416</v>
      </c>
    </row>
    <row r="137" spans="3:6" s="67" customFormat="1" ht="12">
      <c r="C137" s="159" t="s">
        <v>76</v>
      </c>
      <c r="D137" s="336">
        <v>0.8</v>
      </c>
      <c r="E137" s="337"/>
      <c r="F137" s="73"/>
    </row>
    <row r="138" spans="3:6" s="67" customFormat="1" ht="12">
      <c r="C138" s="159" t="s">
        <v>77</v>
      </c>
      <c r="D138" s="175">
        <v>1100</v>
      </c>
      <c r="E138" s="32" t="s">
        <v>78</v>
      </c>
      <c r="F138" s="73"/>
    </row>
    <row r="139" spans="3:6" s="67" customFormat="1" ht="12">
      <c r="C139" s="159" t="s">
        <v>79</v>
      </c>
      <c r="D139" s="335">
        <v>0.05</v>
      </c>
      <c r="E139" s="337" t="s">
        <v>417</v>
      </c>
      <c r="F139" s="73"/>
    </row>
    <row r="140" spans="3:6" s="67" customFormat="1" ht="12">
      <c r="C140" s="159" t="s">
        <v>80</v>
      </c>
      <c r="D140" s="338"/>
      <c r="E140" s="100"/>
    </row>
    <row r="141" spans="3:6" s="67" customFormat="1" ht="12">
      <c r="C141" s="159" t="s">
        <v>343</v>
      </c>
      <c r="D141" s="188"/>
      <c r="E141" s="32"/>
    </row>
    <row r="142" spans="3:6" s="67" customFormat="1" ht="12">
      <c r="C142" s="159" t="s">
        <v>82</v>
      </c>
      <c r="D142" s="190">
        <v>1.1255E-4</v>
      </c>
      <c r="E142" s="32" t="s">
        <v>298</v>
      </c>
    </row>
    <row r="143" spans="3:6" s="67" customFormat="1" ht="12">
      <c r="C143" s="159" t="s">
        <v>83</v>
      </c>
      <c r="D143" s="191">
        <v>3.0500999999999998E-4</v>
      </c>
      <c r="E143" s="32" t="s">
        <v>298</v>
      </c>
    </row>
    <row r="144" spans="3:6" s="67" customFormat="1" ht="12">
      <c r="C144" s="159" t="s">
        <v>84</v>
      </c>
      <c r="D144" s="176">
        <v>0</v>
      </c>
      <c r="E144" s="32"/>
    </row>
    <row r="145" spans="3:7" s="67" customFormat="1" ht="12">
      <c r="C145" s="159" t="s">
        <v>418</v>
      </c>
      <c r="D145" s="176">
        <v>225</v>
      </c>
      <c r="E145" s="32"/>
    </row>
    <row r="146" spans="3:7" s="67" customFormat="1" ht="13" thickBot="1">
      <c r="C146" s="167" t="s">
        <v>299</v>
      </c>
      <c r="D146" s="192">
        <v>0</v>
      </c>
      <c r="E146" s="32"/>
    </row>
    <row r="147" spans="3:7" s="67" customFormat="1" ht="13" thickBot="1">
      <c r="C147" s="48"/>
      <c r="D147" s="32"/>
      <c r="E147" s="32"/>
    </row>
    <row r="148" spans="3:7" s="67" customFormat="1" ht="12">
      <c r="C148" s="158" t="s">
        <v>85</v>
      </c>
      <c r="D148" s="164"/>
      <c r="E148" s="32"/>
    </row>
    <row r="149" spans="3:7" s="67" customFormat="1" ht="12">
      <c r="C149" s="159" t="s">
        <v>86</v>
      </c>
      <c r="D149" s="176">
        <v>50000</v>
      </c>
      <c r="E149" s="32" t="s">
        <v>420</v>
      </c>
    </row>
    <row r="150" spans="3:7" s="67" customFormat="1" ht="12">
      <c r="C150" s="159" t="s">
        <v>188</v>
      </c>
      <c r="D150" s="176">
        <v>2500</v>
      </c>
      <c r="E150" s="32"/>
    </row>
    <row r="151" spans="3:7" s="67" customFormat="1" ht="12">
      <c r="C151" s="159" t="s">
        <v>87</v>
      </c>
      <c r="D151" s="185">
        <v>10000</v>
      </c>
      <c r="E151" s="32"/>
    </row>
    <row r="152" spans="3:7" s="67" customFormat="1" ht="12">
      <c r="C152" s="159" t="s">
        <v>88</v>
      </c>
      <c r="D152" s="185">
        <v>50</v>
      </c>
      <c r="E152" s="32" t="s">
        <v>89</v>
      </c>
    </row>
    <row r="153" spans="3:7" s="67" customFormat="1" ht="12">
      <c r="C153" s="159" t="s">
        <v>90</v>
      </c>
      <c r="D153" s="176">
        <v>5</v>
      </c>
      <c r="E153" s="32" t="s">
        <v>89</v>
      </c>
      <c r="F153" s="73"/>
    </row>
    <row r="154" spans="3:7" s="67" customFormat="1" ht="12">
      <c r="C154" s="159" t="s">
        <v>91</v>
      </c>
      <c r="D154" s="180">
        <v>3.02</v>
      </c>
      <c r="E154" s="32" t="s">
        <v>89</v>
      </c>
    </row>
    <row r="155" spans="3:7" s="67" customFormat="1" ht="12">
      <c r="C155" s="159" t="s">
        <v>92</v>
      </c>
      <c r="D155" s="176">
        <v>2000</v>
      </c>
      <c r="E155" s="32"/>
    </row>
    <row r="156" spans="3:7" s="67" customFormat="1" ht="12.75" customHeight="1">
      <c r="C156" s="159" t="s">
        <v>93</v>
      </c>
      <c r="D156" s="176">
        <v>3000</v>
      </c>
      <c r="E156" s="32"/>
    </row>
    <row r="157" spans="3:7" s="67" customFormat="1" ht="12.75" customHeight="1">
      <c r="C157" s="159" t="s">
        <v>94</v>
      </c>
      <c r="D157" s="160">
        <f>150*D104</f>
        <v>8850</v>
      </c>
      <c r="E157" s="32" t="s">
        <v>300</v>
      </c>
    </row>
    <row r="158" spans="3:7" s="67" customFormat="1" ht="12.75" customHeight="1">
      <c r="C158" s="159" t="s">
        <v>226</v>
      </c>
      <c r="D158" s="175">
        <v>100</v>
      </c>
      <c r="E158" s="32" t="s">
        <v>301</v>
      </c>
      <c r="F158" s="73"/>
    </row>
    <row r="159" spans="3:7" s="67" customFormat="1" ht="12.75" customHeight="1">
      <c r="C159" s="159" t="s">
        <v>227</v>
      </c>
      <c r="D159" s="180">
        <v>5.55</v>
      </c>
      <c r="E159" s="32" t="s">
        <v>403</v>
      </c>
      <c r="F159" s="104"/>
      <c r="G159" s="104"/>
    </row>
    <row r="160" spans="3:7" s="67" customFormat="1" ht="12.75" customHeight="1">
      <c r="C160" s="159" t="s">
        <v>227</v>
      </c>
      <c r="D160" s="175">
        <v>191</v>
      </c>
      <c r="E160" s="32" t="s">
        <v>404</v>
      </c>
      <c r="F160" s="104"/>
      <c r="G160" s="104"/>
    </row>
    <row r="161" spans="3:5" s="67" customFormat="1" ht="12.75" customHeight="1">
      <c r="C161" s="159" t="s">
        <v>95</v>
      </c>
      <c r="D161" s="160">
        <f>(0.5*D64)*50</f>
        <v>13750</v>
      </c>
      <c r="E161" s="32" t="s">
        <v>406</v>
      </c>
    </row>
    <row r="162" spans="3:5" s="67" customFormat="1" ht="12.75" customHeight="1">
      <c r="C162" s="159" t="s">
        <v>96</v>
      </c>
      <c r="D162" s="176">
        <v>5000</v>
      </c>
      <c r="E162" s="101"/>
    </row>
    <row r="163" spans="3:5" s="67" customFormat="1" ht="12.75" customHeight="1">
      <c r="C163" s="159" t="s">
        <v>302</v>
      </c>
      <c r="D163" s="176">
        <v>10000</v>
      </c>
      <c r="E163" s="32"/>
    </row>
    <row r="164" spans="3:5" s="67" customFormat="1" ht="12.75" customHeight="1">
      <c r="C164" s="159" t="s">
        <v>303</v>
      </c>
      <c r="D164" s="176">
        <v>15000</v>
      </c>
      <c r="E164" s="32"/>
    </row>
    <row r="165" spans="3:5" s="67" customFormat="1" ht="12.75" customHeight="1">
      <c r="C165" s="159" t="s">
        <v>228</v>
      </c>
      <c r="D165" s="176">
        <f>2000+10000</f>
        <v>12000</v>
      </c>
      <c r="E165" s="32" t="s">
        <v>304</v>
      </c>
    </row>
    <row r="166" spans="3:5" s="67" customFormat="1" ht="12.75" customHeight="1" thickBot="1">
      <c r="C166" s="167" t="s">
        <v>99</v>
      </c>
      <c r="D166" s="179">
        <v>14000</v>
      </c>
      <c r="E166" s="32" t="s">
        <v>304</v>
      </c>
    </row>
    <row r="167" spans="3:5" s="67" customFormat="1" ht="12.75" customHeight="1" thickBot="1">
      <c r="C167" s="48"/>
      <c r="D167" s="32"/>
      <c r="E167" s="32"/>
    </row>
    <row r="168" spans="3:5" s="67" customFormat="1" ht="12.75" customHeight="1">
      <c r="C168" s="158" t="s">
        <v>100</v>
      </c>
      <c r="D168" s="174"/>
      <c r="E168" s="99"/>
    </row>
    <row r="169" spans="3:5" s="67" customFormat="1" ht="12.75" customHeight="1">
      <c r="C169" s="159" t="s">
        <v>229</v>
      </c>
      <c r="D169" s="176">
        <v>25000</v>
      </c>
      <c r="E169" s="32"/>
    </row>
    <row r="170" spans="3:5" s="67" customFormat="1" ht="12.75" customHeight="1">
      <c r="C170" s="159" t="s">
        <v>101</v>
      </c>
      <c r="D170" s="175">
        <f>17750</f>
        <v>17750</v>
      </c>
      <c r="E170" s="32"/>
    </row>
    <row r="171" spans="3:5" s="67" customFormat="1" ht="12.75" customHeight="1">
      <c r="C171" s="159" t="s">
        <v>102</v>
      </c>
      <c r="D171" s="180">
        <v>15</v>
      </c>
      <c r="E171" s="32" t="s">
        <v>305</v>
      </c>
    </row>
    <row r="172" spans="3:5" s="67" customFormat="1" ht="12.75" customHeight="1">
      <c r="C172" s="159" t="s">
        <v>103</v>
      </c>
      <c r="D172" s="175">
        <v>0</v>
      </c>
      <c r="E172" s="32"/>
    </row>
    <row r="173" spans="3:5" s="67" customFormat="1" ht="12.75" customHeight="1">
      <c r="C173" s="159" t="s">
        <v>104</v>
      </c>
      <c r="D173" s="160">
        <v>0</v>
      </c>
      <c r="E173" s="32"/>
    </row>
    <row r="174" spans="3:5" s="67" customFormat="1" ht="12.75" customHeight="1">
      <c r="C174" s="159" t="s">
        <v>230</v>
      </c>
      <c r="D174" s="175">
        <v>1500</v>
      </c>
      <c r="E174" s="32"/>
    </row>
    <row r="175" spans="3:5" s="67" customFormat="1" ht="12.75" customHeight="1">
      <c r="C175" s="159" t="s">
        <v>105</v>
      </c>
      <c r="D175" s="160">
        <v>0</v>
      </c>
      <c r="E175" s="32"/>
    </row>
    <row r="176" spans="3:5" s="67" customFormat="1" ht="12.75" customHeight="1">
      <c r="C176" s="169" t="s">
        <v>106</v>
      </c>
      <c r="D176" s="181">
        <v>0.01</v>
      </c>
      <c r="E176" s="102" t="s">
        <v>419</v>
      </c>
    </row>
    <row r="177" spans="3:5" s="67" customFormat="1" ht="12.75" customHeight="1">
      <c r="C177" s="159" t="s">
        <v>107</v>
      </c>
      <c r="D177" s="182">
        <v>0.15</v>
      </c>
      <c r="E177" s="281" t="s">
        <v>349</v>
      </c>
    </row>
    <row r="178" spans="3:5" s="67" customFormat="1" ht="39" customHeight="1">
      <c r="C178" s="159" t="s">
        <v>306</v>
      </c>
      <c r="D178" s="184">
        <f>(D8*D53)+(D9*D54)</f>
        <v>1064060</v>
      </c>
      <c r="E178" s="103" t="s">
        <v>407</v>
      </c>
    </row>
    <row r="179" spans="3:5" s="67" customFormat="1" ht="12.75" customHeight="1" thickBot="1">
      <c r="C179" s="167" t="s">
        <v>214</v>
      </c>
      <c r="D179" s="183">
        <f>SUM(D26)</f>
        <v>655</v>
      </c>
      <c r="E179" s="32"/>
    </row>
    <row r="180" spans="3:5" s="67" customFormat="1" ht="12.75" customHeight="1" thickBot="1">
      <c r="C180" s="48"/>
      <c r="D180" s="32"/>
      <c r="E180" s="32"/>
    </row>
    <row r="181" spans="3:5" s="67" customFormat="1" ht="12.75" customHeight="1">
      <c r="C181" s="158" t="s">
        <v>108</v>
      </c>
      <c r="D181" s="164"/>
      <c r="E181" s="32"/>
    </row>
    <row r="182" spans="3:5" s="67" customFormat="1" ht="12.75" customHeight="1">
      <c r="C182" s="159" t="s">
        <v>109</v>
      </c>
      <c r="D182" s="175">
        <v>600</v>
      </c>
      <c r="E182" s="32" t="s">
        <v>81</v>
      </c>
    </row>
    <row r="183" spans="3:5" s="67" customFormat="1" ht="12.75" customHeight="1">
      <c r="C183" s="159" t="s">
        <v>110</v>
      </c>
      <c r="D183" s="175">
        <v>600</v>
      </c>
      <c r="E183" s="32" t="s">
        <v>81</v>
      </c>
    </row>
    <row r="184" spans="3:5" s="67" customFormat="1" ht="12.75" customHeight="1">
      <c r="C184" s="159" t="s">
        <v>111</v>
      </c>
      <c r="D184" s="282">
        <v>1000</v>
      </c>
      <c r="E184" s="32" t="s">
        <v>350</v>
      </c>
    </row>
    <row r="185" spans="3:5" s="67" customFormat="1" ht="12.75" customHeight="1">
      <c r="C185" s="159" t="s">
        <v>112</v>
      </c>
      <c r="D185" s="175">
        <v>350</v>
      </c>
      <c r="E185" s="32" t="s">
        <v>81</v>
      </c>
    </row>
    <row r="186" spans="3:5" s="67" customFormat="1" ht="12.75" customHeight="1">
      <c r="C186" s="159" t="s">
        <v>233</v>
      </c>
      <c r="D186" s="176">
        <v>5000</v>
      </c>
      <c r="E186" s="32" t="s">
        <v>55</v>
      </c>
    </row>
    <row r="187" spans="3:5" s="67" customFormat="1" ht="12.75" customHeight="1" thickBot="1">
      <c r="C187" s="167" t="s">
        <v>113</v>
      </c>
      <c r="D187" s="178">
        <v>5000</v>
      </c>
      <c r="E187" s="32" t="s">
        <v>339</v>
      </c>
    </row>
    <row r="188" spans="3:5" s="67" customFormat="1" ht="12.75" customHeight="1" thickBot="1">
      <c r="C188" s="48"/>
      <c r="D188" s="32"/>
      <c r="E188" s="32"/>
    </row>
    <row r="189" spans="3:5" s="67" customFormat="1" ht="12.75" customHeight="1">
      <c r="C189" s="158" t="s">
        <v>114</v>
      </c>
      <c r="D189" s="164"/>
      <c r="E189" s="32"/>
    </row>
    <row r="190" spans="3:5" s="67" customFormat="1" ht="12.75" customHeight="1">
      <c r="C190" s="159" t="s">
        <v>115</v>
      </c>
      <c r="D190" s="176">
        <v>1000</v>
      </c>
      <c r="E190" s="32"/>
    </row>
    <row r="191" spans="3:5" s="67" customFormat="1" ht="12.75" customHeight="1">
      <c r="C191" s="159" t="s">
        <v>116</v>
      </c>
      <c r="D191" s="176">
        <v>6000</v>
      </c>
      <c r="E191" s="99"/>
    </row>
    <row r="192" spans="3:5" s="67" customFormat="1" ht="12.75" customHeight="1">
      <c r="C192" s="159" t="s">
        <v>117</v>
      </c>
      <c r="D192" s="176">
        <v>0</v>
      </c>
      <c r="E192" s="32"/>
    </row>
    <row r="193" spans="3:5" s="67" customFormat="1" ht="12.75" customHeight="1" thickBot="1">
      <c r="C193" s="167" t="s">
        <v>118</v>
      </c>
      <c r="D193" s="179">
        <v>5000</v>
      </c>
      <c r="E193" s="32"/>
    </row>
    <row r="194" spans="3:5" s="67" customFormat="1" ht="12.75" customHeight="1" thickBot="1">
      <c r="C194" s="48"/>
      <c r="D194" s="32"/>
      <c r="E194" s="104"/>
    </row>
    <row r="195" spans="3:5" s="67" customFormat="1" ht="12.75" customHeight="1">
      <c r="C195" s="158" t="s">
        <v>119</v>
      </c>
      <c r="D195" s="164"/>
      <c r="E195" s="32"/>
    </row>
    <row r="196" spans="3:5" s="67" customFormat="1" ht="12.75" customHeight="1">
      <c r="C196" s="159" t="s">
        <v>120</v>
      </c>
      <c r="D196" s="176">
        <v>0</v>
      </c>
      <c r="E196" s="32"/>
    </row>
    <row r="197" spans="3:5" s="67" customFormat="1" ht="12.75" customHeight="1" thickBot="1">
      <c r="C197" s="167" t="s">
        <v>121</v>
      </c>
      <c r="D197" s="179">
        <v>0</v>
      </c>
      <c r="E197" s="32"/>
    </row>
    <row r="198" spans="3:5" s="67" customFormat="1" ht="12.75" customHeight="1" thickBot="1">
      <c r="C198" s="48"/>
      <c r="D198" s="32"/>
      <c r="E198" s="32"/>
    </row>
    <row r="199" spans="3:5" s="67" customFormat="1" ht="12.75" customHeight="1">
      <c r="C199" s="158" t="s">
        <v>122</v>
      </c>
      <c r="D199" s="174"/>
      <c r="E199" s="99"/>
    </row>
    <row r="200" spans="3:5" s="67" customFormat="1" ht="12.75" customHeight="1">
      <c r="C200" s="159" t="s">
        <v>123</v>
      </c>
      <c r="D200" s="175">
        <v>125</v>
      </c>
      <c r="E200" s="32" t="s">
        <v>89</v>
      </c>
    </row>
    <row r="201" spans="3:5" s="67" customFormat="1" ht="12.75" customHeight="1">
      <c r="C201" s="159" t="s">
        <v>124</v>
      </c>
      <c r="D201" s="175">
        <v>10</v>
      </c>
      <c r="E201" s="32" t="s">
        <v>89</v>
      </c>
    </row>
    <row r="202" spans="3:5" s="67" customFormat="1" ht="12.75" customHeight="1">
      <c r="C202" s="159" t="s">
        <v>234</v>
      </c>
      <c r="D202" s="176">
        <v>15</v>
      </c>
      <c r="E202" s="32" t="s">
        <v>202</v>
      </c>
    </row>
    <row r="203" spans="3:5" s="67" customFormat="1" ht="12.75" customHeight="1">
      <c r="C203" s="159" t="s">
        <v>125</v>
      </c>
      <c r="D203" s="175">
        <v>0</v>
      </c>
      <c r="E203" s="32" t="s">
        <v>89</v>
      </c>
    </row>
    <row r="204" spans="3:5" s="67" customFormat="1" ht="12.75" customHeight="1">
      <c r="C204" s="159" t="s">
        <v>126</v>
      </c>
      <c r="D204" s="176">
        <v>0</v>
      </c>
      <c r="E204" s="32"/>
    </row>
    <row r="205" spans="3:5" s="67" customFormat="1" ht="12.75" customHeight="1">
      <c r="C205" s="159" t="s">
        <v>127</v>
      </c>
      <c r="D205" s="175">
        <v>15</v>
      </c>
      <c r="E205" s="32" t="s">
        <v>89</v>
      </c>
    </row>
    <row r="206" spans="3:5" s="67" customFormat="1" ht="12.75" customHeight="1">
      <c r="C206" s="159" t="s">
        <v>128</v>
      </c>
      <c r="D206" s="175">
        <v>115</v>
      </c>
      <c r="E206" s="32" t="s">
        <v>89</v>
      </c>
    </row>
    <row r="207" spans="3:5" s="67" customFormat="1" ht="12">
      <c r="C207" s="159" t="s">
        <v>129</v>
      </c>
      <c r="D207" s="175">
        <f>65</f>
        <v>65</v>
      </c>
      <c r="E207" s="32" t="s">
        <v>89</v>
      </c>
    </row>
    <row r="208" spans="3:5" s="67" customFormat="1" ht="12">
      <c r="C208" s="159" t="s">
        <v>235</v>
      </c>
      <c r="D208" s="176">
        <v>15000</v>
      </c>
      <c r="E208" s="100"/>
    </row>
    <row r="209" spans="3:6" s="67" customFormat="1" ht="12">
      <c r="C209" s="159" t="s">
        <v>236</v>
      </c>
      <c r="D209" s="176">
        <v>25000</v>
      </c>
      <c r="E209" s="100"/>
    </row>
    <row r="210" spans="3:6" s="67" customFormat="1" ht="12">
      <c r="C210" s="159" t="s">
        <v>307</v>
      </c>
      <c r="D210" s="175">
        <v>100</v>
      </c>
      <c r="E210" s="32"/>
      <c r="F210" s="73"/>
    </row>
    <row r="211" spans="3:6" s="67" customFormat="1" ht="12">
      <c r="C211" s="159" t="s">
        <v>308</v>
      </c>
      <c r="D211" s="175">
        <v>100</v>
      </c>
      <c r="E211" s="32"/>
      <c r="F211" s="73"/>
    </row>
    <row r="212" spans="3:6" s="67" customFormat="1" ht="12">
      <c r="C212" s="159" t="s">
        <v>309</v>
      </c>
      <c r="D212" s="175">
        <v>100</v>
      </c>
      <c r="E212" s="32"/>
      <c r="F212" s="73"/>
    </row>
    <row r="213" spans="3:6" s="67" customFormat="1" ht="12">
      <c r="C213" s="159" t="s">
        <v>310</v>
      </c>
      <c r="D213" s="175">
        <v>100</v>
      </c>
      <c r="E213" s="32"/>
      <c r="F213" s="73"/>
    </row>
    <row r="214" spans="3:6" s="67" customFormat="1" ht="12">
      <c r="C214" s="159" t="s">
        <v>311</v>
      </c>
      <c r="D214" s="175">
        <v>200</v>
      </c>
      <c r="E214" s="32"/>
      <c r="F214" s="73"/>
    </row>
    <row r="215" spans="3:6" s="67" customFormat="1" ht="12">
      <c r="C215" s="159" t="s">
        <v>312</v>
      </c>
      <c r="D215" s="175">
        <v>200</v>
      </c>
      <c r="E215" s="32"/>
      <c r="F215" s="73"/>
    </row>
    <row r="216" spans="3:6" s="67" customFormat="1" ht="12">
      <c r="C216" s="159" t="s">
        <v>203</v>
      </c>
      <c r="D216" s="175">
        <v>600</v>
      </c>
      <c r="E216" s="32"/>
      <c r="F216" s="73"/>
    </row>
    <row r="217" spans="3:6" s="67" customFormat="1" ht="12">
      <c r="C217" s="159"/>
      <c r="D217" s="175"/>
      <c r="E217" s="32"/>
      <c r="F217" s="73"/>
    </row>
    <row r="218" spans="3:6" s="67" customFormat="1" ht="12">
      <c r="C218" s="159" t="s">
        <v>338</v>
      </c>
      <c r="D218" s="177">
        <v>0.6</v>
      </c>
      <c r="E218" s="32"/>
      <c r="F218" s="105"/>
    </row>
    <row r="219" spans="3:6" s="67" customFormat="1" ht="12">
      <c r="C219" s="159" t="s">
        <v>130</v>
      </c>
      <c r="D219" s="176">
        <v>5000</v>
      </c>
      <c r="E219" s="32"/>
    </row>
    <row r="220" spans="3:6" s="67" customFormat="1" ht="12">
      <c r="C220" s="159" t="s">
        <v>131</v>
      </c>
      <c r="D220" s="175">
        <f>2000</f>
        <v>2000</v>
      </c>
      <c r="E220" s="32" t="s">
        <v>313</v>
      </c>
    </row>
    <row r="221" spans="3:6" s="67" customFormat="1" ht="12">
      <c r="C221" s="159" t="s">
        <v>314</v>
      </c>
      <c r="D221" s="343">
        <v>0.01</v>
      </c>
      <c r="E221" s="342">
        <v>0.01</v>
      </c>
    </row>
    <row r="222" spans="3:6" s="67" customFormat="1" ht="12">
      <c r="C222" s="159" t="s">
        <v>133</v>
      </c>
      <c r="D222" s="175">
        <v>5000</v>
      </c>
      <c r="E222" s="32" t="s">
        <v>53</v>
      </c>
    </row>
    <row r="223" spans="3:6" s="67" customFormat="1" ht="12">
      <c r="C223" s="159" t="s">
        <v>134</v>
      </c>
      <c r="D223" s="176">
        <v>5000</v>
      </c>
      <c r="E223" s="32" t="s">
        <v>315</v>
      </c>
    </row>
    <row r="224" spans="3:6" s="67" customFormat="1" ht="12">
      <c r="C224" s="159" t="s">
        <v>135</v>
      </c>
      <c r="D224" s="175">
        <v>1000</v>
      </c>
      <c r="E224" s="32"/>
    </row>
    <row r="225" spans="3:5" s="67" customFormat="1" ht="13" thickBot="1">
      <c r="C225" s="167" t="s">
        <v>136</v>
      </c>
      <c r="D225" s="178">
        <v>6000</v>
      </c>
      <c r="E225" s="32"/>
    </row>
    <row r="226" spans="3:5" s="67" customFormat="1" ht="13" thickBot="1">
      <c r="C226" s="48"/>
      <c r="D226" s="32"/>
      <c r="E226" s="32"/>
    </row>
    <row r="227" spans="3:5" s="67" customFormat="1" ht="12">
      <c r="C227" s="158" t="s">
        <v>137</v>
      </c>
      <c r="D227" s="164"/>
      <c r="E227" s="32"/>
    </row>
    <row r="228" spans="3:5" s="67" customFormat="1" ht="12">
      <c r="C228" s="159" t="s">
        <v>316</v>
      </c>
      <c r="D228" s="160">
        <v>1800000</v>
      </c>
      <c r="E228" s="106" t="s">
        <v>355</v>
      </c>
    </row>
    <row r="229" spans="3:5" s="67" customFormat="1" ht="12.75" customHeight="1">
      <c r="C229" s="169" t="s">
        <v>139</v>
      </c>
      <c r="D229" s="170">
        <v>11000</v>
      </c>
      <c r="E229" s="100" t="s">
        <v>317</v>
      </c>
    </row>
    <row r="230" spans="3:5" s="67" customFormat="1" ht="12.75" customHeight="1">
      <c r="C230" s="169" t="s">
        <v>237</v>
      </c>
      <c r="D230" s="171">
        <v>10000</v>
      </c>
      <c r="E230" s="32"/>
    </row>
    <row r="231" spans="3:5" s="67" customFormat="1" ht="12.75" customHeight="1">
      <c r="C231" s="169" t="s">
        <v>140</v>
      </c>
      <c r="D231" s="171">
        <v>10000</v>
      </c>
      <c r="E231" s="32"/>
    </row>
    <row r="232" spans="3:5" s="67" customFormat="1" ht="12.75" customHeight="1" thickBot="1">
      <c r="C232" s="172" t="s">
        <v>141</v>
      </c>
      <c r="D232" s="173">
        <v>223000</v>
      </c>
      <c r="E232" s="100"/>
    </row>
    <row r="233" spans="3:5" s="67" customFormat="1" ht="12.75" customHeight="1" thickBot="1">
      <c r="C233" s="48"/>
      <c r="D233" s="107"/>
      <c r="E233" s="32"/>
    </row>
    <row r="234" spans="3:5" s="67" customFormat="1" ht="12.75" customHeight="1">
      <c r="C234" s="158" t="s">
        <v>142</v>
      </c>
      <c r="D234" s="164"/>
      <c r="E234" s="101"/>
    </row>
    <row r="235" spans="3:5" s="67" customFormat="1" ht="12.75" customHeight="1">
      <c r="C235" s="159" t="s">
        <v>143</v>
      </c>
      <c r="D235" s="165">
        <v>50</v>
      </c>
      <c r="E235" s="101" t="s">
        <v>144</v>
      </c>
    </row>
    <row r="236" spans="3:5" s="67" customFormat="1" ht="12.75" customHeight="1">
      <c r="C236" s="159" t="s">
        <v>145</v>
      </c>
      <c r="D236" s="166">
        <f>(400*D104)</f>
        <v>23600</v>
      </c>
      <c r="E236" s="101" t="s">
        <v>351</v>
      </c>
    </row>
    <row r="237" spans="3:5" s="67" customFormat="1" ht="12.75" customHeight="1">
      <c r="C237" s="159" t="s">
        <v>146</v>
      </c>
      <c r="D237" s="165">
        <v>4500</v>
      </c>
      <c r="E237" s="101" t="s">
        <v>352</v>
      </c>
    </row>
    <row r="238" spans="3:5" s="67" customFormat="1" ht="12.75" customHeight="1" thickBot="1">
      <c r="C238" s="167" t="s">
        <v>147</v>
      </c>
      <c r="D238" s="168">
        <f>2000</f>
        <v>2000</v>
      </c>
      <c r="E238" s="101" t="s">
        <v>318</v>
      </c>
    </row>
    <row r="239" spans="3:5" s="67" customFormat="1" ht="12.75" customHeight="1" thickBot="1">
      <c r="C239" s="48"/>
      <c r="D239" s="32"/>
      <c r="E239" s="101"/>
    </row>
    <row r="240" spans="3:5" s="67" customFormat="1" ht="12.75" customHeight="1">
      <c r="C240" s="158" t="s">
        <v>148</v>
      </c>
      <c r="D240" s="163">
        <v>0.01</v>
      </c>
      <c r="E240" s="99"/>
    </row>
    <row r="241" spans="2:5" s="67" customFormat="1" ht="12.75" customHeight="1">
      <c r="C241" s="159"/>
      <c r="D241" s="160"/>
      <c r="E241" s="32"/>
    </row>
    <row r="242" spans="2:5" s="67" customFormat="1" ht="12.75" customHeight="1" thickBot="1">
      <c r="C242" s="161" t="s">
        <v>149</v>
      </c>
      <c r="D242" s="162">
        <f>D252*0.2</f>
        <v>14700</v>
      </c>
      <c r="E242" s="32"/>
    </row>
    <row r="243" spans="2:5" s="67" customFormat="1" ht="12.75" customHeight="1">
      <c r="C243" s="94"/>
      <c r="D243" s="32"/>
      <c r="E243" s="32"/>
    </row>
    <row r="244" spans="2:5" s="67" customFormat="1" ht="12.75" customHeight="1" thickBot="1">
      <c r="C244" s="94"/>
      <c r="D244" s="99"/>
      <c r="E244" s="32"/>
    </row>
    <row r="245" spans="2:5" s="67" customFormat="1" ht="12.75" customHeight="1">
      <c r="C245" s="267" t="s">
        <v>150</v>
      </c>
      <c r="D245" s="146"/>
      <c r="E245" s="99"/>
    </row>
    <row r="246" spans="2:5" ht="12.75" customHeight="1">
      <c r="C246" s="147"/>
      <c r="D246" s="148"/>
      <c r="E246" s="100"/>
    </row>
    <row r="247" spans="2:5" ht="12.75" customHeight="1">
      <c r="C247" s="149" t="s">
        <v>151</v>
      </c>
      <c r="D247" s="150">
        <f>500*(D104)</f>
        <v>29500</v>
      </c>
      <c r="E247" s="33"/>
    </row>
    <row r="248" spans="2:5" ht="12.75" customHeight="1">
      <c r="C248" s="149" t="s">
        <v>152</v>
      </c>
      <c r="D248" s="150">
        <f>1000*D73</f>
        <v>22000</v>
      </c>
      <c r="E248" s="33"/>
    </row>
    <row r="249" spans="2:5" ht="12.75" customHeight="1">
      <c r="C249" s="149" t="s">
        <v>153</v>
      </c>
      <c r="D249" s="151">
        <v>0</v>
      </c>
      <c r="E249" s="33"/>
    </row>
    <row r="250" spans="2:5" ht="12.75" customHeight="1">
      <c r="C250" s="149" t="s">
        <v>154</v>
      </c>
      <c r="D250" s="151">
        <v>0</v>
      </c>
      <c r="E250" s="33"/>
    </row>
    <row r="251" spans="2:5" ht="12.75" customHeight="1">
      <c r="C251" s="152" t="s">
        <v>155</v>
      </c>
      <c r="D251" s="150">
        <f>1000*D73</f>
        <v>22000</v>
      </c>
      <c r="E251" s="33"/>
    </row>
    <row r="252" spans="2:5" ht="12.75" customHeight="1">
      <c r="C252" s="153" t="s">
        <v>239</v>
      </c>
      <c r="D252" s="154">
        <f>SUM(D247:D251)</f>
        <v>73500</v>
      </c>
      <c r="E252" s="33"/>
    </row>
    <row r="253" spans="2:5" ht="12.75" customHeight="1" thickBot="1">
      <c r="C253" s="155"/>
      <c r="D253" s="156"/>
      <c r="E253" s="33"/>
    </row>
    <row r="254" spans="2:5" ht="12.75" customHeight="1">
      <c r="C254" s="108"/>
      <c r="D254" s="33"/>
      <c r="E254" s="33"/>
    </row>
    <row r="255" spans="2:5" ht="12.75" customHeight="1">
      <c r="B255" s="63" t="s">
        <v>319</v>
      </c>
      <c r="C255" s="94" t="s">
        <v>320</v>
      </c>
      <c r="D255" s="109">
        <v>5.0000000000000001E-3</v>
      </c>
      <c r="E255" s="33" t="s">
        <v>321</v>
      </c>
    </row>
    <row r="256" spans="2:5" ht="12.75" customHeight="1">
      <c r="C256" s="94"/>
      <c r="D256" s="33"/>
      <c r="E256" s="33"/>
    </row>
    <row r="257" spans="3:5" ht="12.75" customHeight="1">
      <c r="C257" s="94"/>
      <c r="D257" s="110"/>
      <c r="E257" s="33"/>
    </row>
    <row r="258" spans="3:5" ht="12.75" customHeight="1">
      <c r="C258" s="94"/>
      <c r="D258" s="34"/>
      <c r="E258" s="33"/>
    </row>
    <row r="259" spans="3:5" ht="12.75" customHeight="1">
      <c r="C259" s="94"/>
      <c r="D259" s="111"/>
      <c r="E259" s="33"/>
    </row>
    <row r="260" spans="3:5" ht="12.75" customHeight="1">
      <c r="C260" s="94"/>
      <c r="D260" s="112"/>
      <c r="E260" s="68"/>
    </row>
    <row r="261" spans="3:5" ht="12">
      <c r="C261" s="28"/>
      <c r="D261" s="112"/>
      <c r="E261" s="68"/>
    </row>
    <row r="262" spans="3:5" ht="12">
      <c r="D262" s="112"/>
      <c r="E262" s="68"/>
    </row>
    <row r="263" spans="3:5" ht="12">
      <c r="D263" s="112"/>
      <c r="E263" s="68"/>
    </row>
    <row r="264" spans="3:5" ht="12">
      <c r="C264" s="113"/>
      <c r="D264" s="112"/>
      <c r="E264" s="68"/>
    </row>
    <row r="265" spans="3:5">
      <c r="C265" s="114"/>
    </row>
    <row r="266" spans="3:5">
      <c r="C266" s="114"/>
    </row>
    <row r="267" spans="3:5">
      <c r="C267" s="114"/>
    </row>
    <row r="268" spans="3:5">
      <c r="C268" s="113"/>
    </row>
    <row r="269" spans="3:5">
      <c r="C269" s="113"/>
    </row>
  </sheetData>
  <phoneticPr fontId="16" type="noConversion"/>
  <printOptions gridLines="1"/>
  <pageMargins left="0.75" right="0.75" top="0.51" bottom="0.5" header="0.25" footer="0.25"/>
  <pageSetup scale="90" fitToHeight="6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  <pageSetUpPr fitToPage="1"/>
  </sheetPr>
  <dimension ref="B1:L148"/>
  <sheetViews>
    <sheetView zoomScale="125" zoomScaleNormal="125" zoomScalePageLayoutView="125" workbookViewId="0">
      <pane xSplit="4" ySplit="2" topLeftCell="E37" activePane="bottomRight" state="frozen"/>
      <selection activeCell="B43" sqref="B43"/>
      <selection pane="topRight" activeCell="B43" sqref="B43"/>
      <selection pane="bottomLeft" activeCell="B43" sqref="B43"/>
      <selection pane="bottomRight" activeCell="I73" sqref="I73"/>
    </sheetView>
  </sheetViews>
  <sheetFormatPr baseColWidth="10" defaultColWidth="8.83203125" defaultRowHeight="12" x14ac:dyDescent="0"/>
  <cols>
    <col min="1" max="1" width="3.5" style="1" customWidth="1"/>
    <col min="2" max="2" width="3.1640625" style="15" customWidth="1"/>
    <col min="3" max="3" width="4" style="2" customWidth="1"/>
    <col min="4" max="4" width="32.83203125" style="1" customWidth="1"/>
    <col min="5" max="5" width="21.83203125" style="1" customWidth="1"/>
    <col min="6" max="6" width="13" style="12" customWidth="1"/>
    <col min="7" max="7" width="23.1640625" style="123" customWidth="1"/>
    <col min="8" max="9" width="8.83203125" style="1"/>
    <col min="10" max="10" width="3.6640625" style="1" customWidth="1"/>
    <col min="11" max="16384" width="8.83203125" style="1"/>
  </cols>
  <sheetData>
    <row r="1" spans="2:10" ht="23" customHeight="1">
      <c r="D1" s="115" t="s">
        <v>337</v>
      </c>
      <c r="E1" s="115"/>
      <c r="F1" s="317" t="s">
        <v>393</v>
      </c>
      <c r="G1" s="144"/>
    </row>
    <row r="2" spans="2:10" ht="14" customHeight="1">
      <c r="C2" s="4"/>
      <c r="D2" s="4" t="s">
        <v>14</v>
      </c>
      <c r="E2" s="4"/>
      <c r="F2" s="134" t="s">
        <v>4</v>
      </c>
      <c r="G2" s="16"/>
      <c r="H2" s="141"/>
      <c r="I2" s="142"/>
      <c r="J2" s="143"/>
    </row>
    <row r="3" spans="2:10" s="5" customFormat="1" ht="16" customHeight="1">
      <c r="B3" s="17"/>
      <c r="C3" s="6"/>
      <c r="D3" s="7"/>
      <c r="E3" s="7"/>
      <c r="F3" s="139"/>
    </row>
    <row r="4" spans="2:10" s="5" customFormat="1" ht="12" customHeight="1">
      <c r="B4" s="17"/>
      <c r="C4" s="129"/>
      <c r="D4" s="30" t="s">
        <v>323</v>
      </c>
      <c r="E4" s="284" t="s">
        <v>356</v>
      </c>
      <c r="F4" s="327">
        <v>120000</v>
      </c>
      <c r="G4" s="10"/>
    </row>
    <row r="5" spans="2:10" s="5" customFormat="1" ht="12" customHeight="1">
      <c r="B5" s="17"/>
      <c r="C5" s="130"/>
      <c r="D5" s="21" t="s">
        <v>326</v>
      </c>
      <c r="E5" s="127" t="s">
        <v>357</v>
      </c>
      <c r="F5" s="328">
        <v>93000</v>
      </c>
      <c r="G5" s="10"/>
    </row>
    <row r="6" spans="2:10" s="5" customFormat="1" ht="12" customHeight="1">
      <c r="B6" s="17"/>
      <c r="C6" s="130"/>
      <c r="D6" s="21" t="s">
        <v>327</v>
      </c>
      <c r="E6" s="127" t="s">
        <v>358</v>
      </c>
      <c r="F6" s="328">
        <v>93000</v>
      </c>
      <c r="G6" s="10"/>
    </row>
    <row r="7" spans="2:10" s="5" customFormat="1" ht="12" customHeight="1">
      <c r="B7" s="17"/>
      <c r="C7" s="349"/>
      <c r="D7" s="135"/>
      <c r="E7" s="135"/>
      <c r="F7" s="285"/>
    </row>
    <row r="8" spans="2:10" s="5" customFormat="1" ht="11" customHeight="1">
      <c r="B8" s="17"/>
      <c r="C8" s="350"/>
      <c r="D8" s="7"/>
      <c r="F8" s="62"/>
    </row>
    <row r="9" spans="2:10" s="17" customFormat="1" ht="12.75" customHeight="1">
      <c r="C9" s="129"/>
      <c r="D9" s="23" t="s">
        <v>10</v>
      </c>
      <c r="E9" s="286" t="s">
        <v>363</v>
      </c>
      <c r="F9" s="322">
        <v>35000</v>
      </c>
      <c r="G9" s="26"/>
    </row>
    <row r="10" spans="2:10" s="17" customFormat="1" ht="12.75" customHeight="1">
      <c r="C10" s="130"/>
      <c r="D10" s="21" t="s">
        <v>11</v>
      </c>
      <c r="E10" s="19"/>
      <c r="F10" s="290">
        <v>45000</v>
      </c>
      <c r="G10" s="323"/>
    </row>
    <row r="11" spans="2:10" s="17" customFormat="1" ht="12.75" customHeight="1">
      <c r="C11" s="130"/>
      <c r="D11" s="21" t="s">
        <v>9</v>
      </c>
      <c r="E11" s="19" t="s">
        <v>360</v>
      </c>
      <c r="F11" s="318">
        <v>65000</v>
      </c>
      <c r="G11" s="20"/>
    </row>
    <row r="12" spans="2:10" s="17" customFormat="1" ht="12.75" customHeight="1">
      <c r="C12" s="130"/>
      <c r="D12" s="21" t="s">
        <v>322</v>
      </c>
      <c r="E12" s="19"/>
      <c r="F12" s="290">
        <v>50000</v>
      </c>
      <c r="G12" s="319"/>
    </row>
    <row r="13" spans="2:10" s="17" customFormat="1" ht="12.75" customHeight="1">
      <c r="C13" s="130"/>
      <c r="D13" s="9" t="s">
        <v>16</v>
      </c>
      <c r="E13" s="24" t="s">
        <v>362</v>
      </c>
      <c r="F13" s="321">
        <v>35000</v>
      </c>
      <c r="G13" s="20"/>
    </row>
    <row r="14" spans="2:10" s="17" customFormat="1" ht="12.75" customHeight="1">
      <c r="C14" s="130"/>
      <c r="D14" s="21"/>
      <c r="E14" s="19"/>
      <c r="F14" s="290"/>
      <c r="G14" s="20"/>
    </row>
    <row r="15" spans="2:10" s="17" customFormat="1" ht="12.75" customHeight="1">
      <c r="C15" s="130"/>
      <c r="D15" s="21" t="s">
        <v>20</v>
      </c>
      <c r="E15" s="19" t="s">
        <v>361</v>
      </c>
      <c r="F15" s="318">
        <v>45000</v>
      </c>
      <c r="G15" s="20"/>
    </row>
    <row r="16" spans="2:10" s="17" customFormat="1" ht="12.75" customHeight="1">
      <c r="C16" s="130"/>
      <c r="D16" s="21" t="s">
        <v>20</v>
      </c>
      <c r="E16" s="19"/>
      <c r="F16" s="290"/>
      <c r="G16" s="20"/>
      <c r="H16" s="289" t="s">
        <v>353</v>
      </c>
    </row>
    <row r="17" spans="2:8" s="17" customFormat="1" ht="12.75" customHeight="1">
      <c r="C17" s="130"/>
      <c r="D17" s="21" t="s">
        <v>12</v>
      </c>
      <c r="E17" s="19"/>
      <c r="F17" s="290">
        <v>55000</v>
      </c>
      <c r="G17" s="324"/>
    </row>
    <row r="18" spans="2:8" s="17" customFormat="1" ht="12.75" customHeight="1">
      <c r="C18" s="130"/>
      <c r="D18" s="9" t="s">
        <v>354</v>
      </c>
      <c r="E18" s="24"/>
      <c r="F18" s="320">
        <v>80000</v>
      </c>
      <c r="G18" s="324"/>
      <c r="H18" s="289"/>
    </row>
    <row r="19" spans="2:8" s="17" customFormat="1" ht="12.75" customHeight="1">
      <c r="B19" s="10"/>
      <c r="C19" s="351"/>
      <c r="D19" s="19"/>
      <c r="E19" s="19"/>
      <c r="F19" s="291"/>
      <c r="G19" s="20"/>
    </row>
    <row r="20" spans="2:8" s="17" customFormat="1" ht="12.75" customHeight="1">
      <c r="C20" s="130"/>
      <c r="D20" s="9" t="s">
        <v>324</v>
      </c>
      <c r="E20" s="19"/>
      <c r="F20" s="291">
        <v>70000</v>
      </c>
      <c r="G20" s="20"/>
      <c r="H20" s="289"/>
    </row>
    <row r="21" spans="2:8" s="17" customFormat="1" ht="12.75" customHeight="1">
      <c r="C21" s="130"/>
      <c r="D21" s="9" t="s">
        <v>325</v>
      </c>
      <c r="E21" s="19"/>
      <c r="F21" s="291">
        <v>60000</v>
      </c>
      <c r="G21" s="20"/>
      <c r="H21" s="289" t="s">
        <v>425</v>
      </c>
    </row>
    <row r="22" spans="2:8" s="17" customFormat="1" ht="12.75" customHeight="1">
      <c r="C22" s="131"/>
      <c r="D22" s="38"/>
      <c r="E22" s="36"/>
      <c r="F22" s="288"/>
      <c r="G22" s="20"/>
      <c r="H22" s="289"/>
    </row>
    <row r="23" spans="2:8" s="17" customFormat="1" ht="12.75" customHeight="1">
      <c r="C23" s="8"/>
      <c r="D23" s="21"/>
      <c r="F23" s="140"/>
    </row>
    <row r="24" spans="2:8" s="17" customFormat="1" ht="12.75" customHeight="1">
      <c r="C24" s="129"/>
      <c r="D24" s="23" t="s">
        <v>336</v>
      </c>
      <c r="E24" s="286" t="s">
        <v>390</v>
      </c>
      <c r="F24" s="326">
        <v>74500</v>
      </c>
      <c r="G24" s="136"/>
    </row>
    <row r="25" spans="2:8" s="17" customFormat="1" ht="12.75" customHeight="1">
      <c r="C25" s="130"/>
      <c r="D25" s="21" t="s">
        <v>391</v>
      </c>
      <c r="E25" s="19" t="s">
        <v>392</v>
      </c>
      <c r="F25" s="287">
        <v>64000</v>
      </c>
      <c r="G25" s="20"/>
    </row>
    <row r="26" spans="2:8" s="17" customFormat="1" ht="12.75" customHeight="1">
      <c r="C26" s="130"/>
      <c r="D26" s="21" t="s">
        <v>13</v>
      </c>
      <c r="E26" s="19"/>
      <c r="F26" s="291">
        <v>62500</v>
      </c>
      <c r="G26" s="324"/>
    </row>
    <row r="27" spans="2:8" s="17" customFormat="1" ht="12.75" customHeight="1">
      <c r="C27" s="130"/>
      <c r="D27" s="21" t="s">
        <v>13</v>
      </c>
      <c r="E27" s="19"/>
      <c r="F27" s="291">
        <v>52500</v>
      </c>
      <c r="G27" s="324"/>
    </row>
    <row r="28" spans="2:8" s="17" customFormat="1" ht="12.75" customHeight="1">
      <c r="C28" s="130"/>
      <c r="D28" s="21" t="s">
        <v>23</v>
      </c>
      <c r="E28" s="19"/>
      <c r="F28" s="329">
        <v>80000</v>
      </c>
      <c r="G28" s="20"/>
      <c r="H28" s="289"/>
    </row>
    <row r="29" spans="2:8" s="17" customFormat="1" ht="19" customHeight="1">
      <c r="C29" s="128"/>
      <c r="D29" s="21"/>
      <c r="E29" s="19"/>
      <c r="F29" s="287"/>
      <c r="G29" s="20"/>
    </row>
    <row r="30" spans="2:8" s="17" customFormat="1" ht="12.75" customHeight="1">
      <c r="C30" s="126" t="s">
        <v>7</v>
      </c>
      <c r="D30" s="19" t="s">
        <v>19</v>
      </c>
      <c r="E30" s="17" t="s">
        <v>385</v>
      </c>
      <c r="F30" s="287">
        <v>67000</v>
      </c>
      <c r="G30" s="20"/>
    </row>
    <row r="31" spans="2:8" s="17" customFormat="1" ht="12.75" customHeight="1">
      <c r="C31" s="126" t="s">
        <v>7</v>
      </c>
      <c r="D31" s="19" t="s">
        <v>19</v>
      </c>
      <c r="E31" s="19" t="s">
        <v>386</v>
      </c>
      <c r="F31" s="291">
        <v>62500</v>
      </c>
      <c r="G31" s="20" t="s">
        <v>408</v>
      </c>
    </row>
    <row r="32" spans="2:8" s="17" customFormat="1" ht="12.75" customHeight="1">
      <c r="C32" s="126" t="s">
        <v>7</v>
      </c>
      <c r="D32" s="19" t="s">
        <v>19</v>
      </c>
      <c r="E32" s="19" t="s">
        <v>387</v>
      </c>
      <c r="F32" s="287">
        <v>67000</v>
      </c>
      <c r="G32" s="20"/>
    </row>
    <row r="33" spans="3:7" s="17" customFormat="1" ht="12.75" customHeight="1">
      <c r="C33" s="126" t="s">
        <v>7</v>
      </c>
      <c r="D33" s="19" t="s">
        <v>19</v>
      </c>
      <c r="E33" s="19"/>
      <c r="F33" s="291">
        <v>64000</v>
      </c>
      <c r="G33" s="324"/>
    </row>
    <row r="34" spans="3:7" s="17" customFormat="1" ht="12.75" customHeight="1">
      <c r="C34" s="126" t="s">
        <v>7</v>
      </c>
      <c r="D34" s="19" t="s">
        <v>21</v>
      </c>
      <c r="E34" s="19" t="s">
        <v>384</v>
      </c>
      <c r="F34" s="287">
        <v>52500</v>
      </c>
      <c r="G34" s="20"/>
    </row>
    <row r="35" spans="3:7" s="17" customFormat="1" ht="12.75" customHeight="1">
      <c r="C35" s="126" t="s">
        <v>7</v>
      </c>
      <c r="D35" s="19" t="s">
        <v>21</v>
      </c>
      <c r="E35" s="352" t="s">
        <v>383</v>
      </c>
      <c r="F35" s="287">
        <v>50000</v>
      </c>
      <c r="G35" s="20"/>
    </row>
    <row r="36" spans="3:7" s="17" customFormat="1" ht="12.75" customHeight="1">
      <c r="C36" s="126" t="s">
        <v>7</v>
      </c>
      <c r="D36" s="19" t="s">
        <v>328</v>
      </c>
      <c r="E36" s="19"/>
      <c r="F36" s="287">
        <v>62500</v>
      </c>
      <c r="G36" s="324"/>
    </row>
    <row r="37" spans="3:7" s="17" customFormat="1" ht="12.75" customHeight="1">
      <c r="C37" s="126"/>
      <c r="D37" s="19"/>
      <c r="E37" s="19"/>
      <c r="F37" s="287"/>
      <c r="G37" s="20"/>
    </row>
    <row r="38" spans="3:7" s="17" customFormat="1" ht="12.75" customHeight="1">
      <c r="C38" s="126">
        <v>1</v>
      </c>
      <c r="D38" s="19" t="s">
        <v>19</v>
      </c>
      <c r="E38" s="19" t="s">
        <v>366</v>
      </c>
      <c r="F38" s="287">
        <v>62500</v>
      </c>
      <c r="G38" s="20"/>
    </row>
    <row r="39" spans="3:7" s="17" customFormat="1" ht="12.75" customHeight="1">
      <c r="C39" s="126">
        <v>1</v>
      </c>
      <c r="D39" s="19" t="s">
        <v>19</v>
      </c>
      <c r="E39" s="19" t="s">
        <v>367</v>
      </c>
      <c r="F39" s="287">
        <v>74500</v>
      </c>
      <c r="G39" s="20"/>
    </row>
    <row r="40" spans="3:7" s="17" customFormat="1" ht="12.75" customHeight="1">
      <c r="C40" s="126">
        <v>1</v>
      </c>
      <c r="D40" s="19" t="s">
        <v>19</v>
      </c>
      <c r="E40" s="19" t="s">
        <v>368</v>
      </c>
      <c r="F40" s="287">
        <v>52500</v>
      </c>
      <c r="G40" s="117"/>
    </row>
    <row r="41" spans="3:7" s="17" customFormat="1" ht="12.75" customHeight="1">
      <c r="C41" s="126">
        <v>1</v>
      </c>
      <c r="D41" s="19" t="s">
        <v>19</v>
      </c>
      <c r="E41" s="19"/>
      <c r="F41" s="291">
        <v>64000</v>
      </c>
      <c r="G41" s="324"/>
    </row>
    <row r="42" spans="3:7" s="17" customFormat="1" ht="12.75" customHeight="1">
      <c r="C42" s="126">
        <v>1</v>
      </c>
      <c r="D42" s="19" t="s">
        <v>21</v>
      </c>
      <c r="E42" s="19" t="s">
        <v>364</v>
      </c>
      <c r="F42" s="287">
        <v>52500</v>
      </c>
      <c r="G42" s="20"/>
    </row>
    <row r="43" spans="3:7" s="17" customFormat="1" ht="12.75" customHeight="1">
      <c r="C43" s="126">
        <v>1</v>
      </c>
      <c r="D43" s="19" t="s">
        <v>21</v>
      </c>
      <c r="E43" s="19" t="s">
        <v>365</v>
      </c>
      <c r="F43" s="287">
        <v>52500</v>
      </c>
      <c r="G43" s="20"/>
    </row>
    <row r="44" spans="3:7" s="17" customFormat="1" ht="12.75" customHeight="1">
      <c r="C44" s="126">
        <v>1</v>
      </c>
      <c r="D44" s="19" t="s">
        <v>328</v>
      </c>
      <c r="E44" s="19" t="s">
        <v>388</v>
      </c>
      <c r="F44" s="287">
        <v>52500</v>
      </c>
      <c r="G44" s="20"/>
    </row>
    <row r="45" spans="3:7" s="17" customFormat="1" ht="12.75" customHeight="1">
      <c r="C45" s="126"/>
      <c r="D45" s="19"/>
      <c r="E45" s="19"/>
      <c r="F45" s="287"/>
      <c r="G45" s="20"/>
    </row>
    <row r="46" spans="3:7" s="17" customFormat="1" ht="12.75" customHeight="1">
      <c r="C46" s="126">
        <v>2</v>
      </c>
      <c r="D46" s="19" t="s">
        <v>19</v>
      </c>
      <c r="E46" s="19" t="s">
        <v>371</v>
      </c>
      <c r="F46" s="287">
        <v>62500</v>
      </c>
      <c r="G46" s="20"/>
    </row>
    <row r="47" spans="3:7" s="17" customFormat="1" ht="12.75" customHeight="1">
      <c r="C47" s="126">
        <v>2</v>
      </c>
      <c r="D47" s="19" t="s">
        <v>19</v>
      </c>
      <c r="E47" s="19"/>
      <c r="F47" s="291">
        <v>62500</v>
      </c>
      <c r="G47" s="324"/>
    </row>
    <row r="48" spans="3:7" s="17" customFormat="1" ht="12.75" customHeight="1">
      <c r="C48" s="126">
        <v>2</v>
      </c>
      <c r="D48" s="19" t="s">
        <v>19</v>
      </c>
      <c r="E48" s="19"/>
      <c r="F48" s="291">
        <v>64000</v>
      </c>
      <c r="G48" s="324"/>
    </row>
    <row r="49" spans="3:7" s="17" customFormat="1" ht="12.75" customHeight="1">
      <c r="C49" s="126">
        <v>2</v>
      </c>
      <c r="D49" s="19" t="s">
        <v>19</v>
      </c>
      <c r="E49" s="19"/>
      <c r="F49" s="291">
        <v>64000</v>
      </c>
      <c r="G49" s="324"/>
    </row>
    <row r="50" spans="3:7" s="17" customFormat="1" ht="12.75" customHeight="1">
      <c r="C50" s="126">
        <v>2</v>
      </c>
      <c r="D50" s="19" t="s">
        <v>21</v>
      </c>
      <c r="E50" s="19" t="s">
        <v>369</v>
      </c>
      <c r="F50" s="287">
        <v>50000</v>
      </c>
      <c r="G50" s="20"/>
    </row>
    <row r="51" spans="3:7" s="17" customFormat="1" ht="11.25" customHeight="1">
      <c r="C51" s="126">
        <v>2</v>
      </c>
      <c r="D51" s="19" t="s">
        <v>21</v>
      </c>
      <c r="E51" s="19" t="s">
        <v>370</v>
      </c>
      <c r="F51" s="287">
        <v>52500</v>
      </c>
      <c r="G51" s="20"/>
    </row>
    <row r="52" spans="3:7" s="17" customFormat="1" ht="11.25" customHeight="1">
      <c r="C52" s="126">
        <v>2</v>
      </c>
      <c r="D52" s="19" t="s">
        <v>328</v>
      </c>
      <c r="E52" s="19" t="s">
        <v>389</v>
      </c>
      <c r="F52" s="287">
        <v>50000</v>
      </c>
      <c r="G52" s="20"/>
    </row>
    <row r="53" spans="3:7" s="17" customFormat="1" ht="11.25" customHeight="1">
      <c r="C53" s="126"/>
      <c r="D53" s="19"/>
      <c r="E53" s="19"/>
      <c r="F53" s="287"/>
      <c r="G53" s="20"/>
    </row>
    <row r="54" spans="3:7" s="17" customFormat="1" ht="11.25" customHeight="1">
      <c r="C54" s="126">
        <v>3</v>
      </c>
      <c r="D54" s="19" t="s">
        <v>19</v>
      </c>
      <c r="E54" s="19" t="s">
        <v>373</v>
      </c>
      <c r="F54" s="287">
        <v>67000</v>
      </c>
      <c r="G54" s="20"/>
    </row>
    <row r="55" spans="3:7" s="17" customFormat="1" ht="11.25" customHeight="1">
      <c r="C55" s="126">
        <v>3</v>
      </c>
      <c r="D55" s="19" t="s">
        <v>19</v>
      </c>
      <c r="E55" s="19"/>
      <c r="F55" s="291">
        <v>62500</v>
      </c>
      <c r="G55" s="324"/>
    </row>
    <row r="56" spans="3:7" s="17" customFormat="1" ht="11.25" customHeight="1">
      <c r="C56" s="126">
        <v>3</v>
      </c>
      <c r="D56" s="19" t="s">
        <v>19</v>
      </c>
      <c r="E56" s="19"/>
      <c r="F56" s="291">
        <v>64000</v>
      </c>
      <c r="G56" s="324"/>
    </row>
    <row r="57" spans="3:7" s="17" customFormat="1" ht="11.25" customHeight="1">
      <c r="C57" s="126">
        <v>3</v>
      </c>
      <c r="D57" s="19" t="s">
        <v>19</v>
      </c>
      <c r="E57" s="19"/>
      <c r="F57" s="291">
        <v>64000</v>
      </c>
      <c r="G57" s="324"/>
    </row>
    <row r="58" spans="3:7" s="17" customFormat="1" ht="11.25" customHeight="1">
      <c r="C58" s="126">
        <v>3</v>
      </c>
      <c r="D58" s="19" t="s">
        <v>21</v>
      </c>
      <c r="E58" s="19"/>
      <c r="F58" s="291">
        <v>50000</v>
      </c>
      <c r="G58" s="324"/>
    </row>
    <row r="59" spans="3:7" s="17" customFormat="1" ht="11.25" customHeight="1">
      <c r="C59" s="126">
        <v>3</v>
      </c>
      <c r="D59" s="19" t="s">
        <v>21</v>
      </c>
      <c r="E59" s="19" t="s">
        <v>372</v>
      </c>
      <c r="F59" s="287">
        <v>50000</v>
      </c>
      <c r="G59" s="20"/>
    </row>
    <row r="60" spans="3:7" s="17" customFormat="1" ht="11.25" customHeight="1">
      <c r="C60" s="126">
        <v>3</v>
      </c>
      <c r="D60" s="19" t="s">
        <v>328</v>
      </c>
      <c r="E60" s="19"/>
      <c r="F60" s="291">
        <v>50000</v>
      </c>
      <c r="G60" s="324"/>
    </row>
    <row r="61" spans="3:7" s="17" customFormat="1" ht="11.25" customHeight="1">
      <c r="C61" s="126"/>
      <c r="D61" s="19"/>
      <c r="E61" s="19"/>
      <c r="F61" s="287"/>
      <c r="G61" s="20"/>
    </row>
    <row r="62" spans="3:7" s="17" customFormat="1" ht="11.25" customHeight="1">
      <c r="C62" s="126">
        <v>4</v>
      </c>
      <c r="D62" s="19" t="s">
        <v>19</v>
      </c>
      <c r="E62" s="19" t="s">
        <v>375</v>
      </c>
      <c r="F62" s="287">
        <v>65500</v>
      </c>
      <c r="G62" s="20"/>
    </row>
    <row r="63" spans="3:7" s="17" customFormat="1" ht="11.25" customHeight="1">
      <c r="C63" s="126"/>
      <c r="D63" s="19"/>
      <c r="E63" s="19" t="s">
        <v>376</v>
      </c>
      <c r="F63" s="287"/>
      <c r="G63" s="20" t="s">
        <v>335</v>
      </c>
    </row>
    <row r="64" spans="3:7" s="17" customFormat="1" ht="11.25" customHeight="1">
      <c r="C64" s="126">
        <v>4</v>
      </c>
      <c r="D64" s="19" t="s">
        <v>377</v>
      </c>
      <c r="E64" s="19"/>
      <c r="F64" s="291">
        <v>50000</v>
      </c>
      <c r="G64" s="324"/>
    </row>
    <row r="65" spans="3:12" s="17" customFormat="1" ht="12.75" customHeight="1">
      <c r="C65" s="126">
        <v>4</v>
      </c>
      <c r="D65" s="19" t="s">
        <v>21</v>
      </c>
      <c r="E65" s="19" t="s">
        <v>374</v>
      </c>
      <c r="F65" s="287">
        <v>50000</v>
      </c>
      <c r="G65" s="20"/>
    </row>
    <row r="66" spans="3:12" s="17" customFormat="1" ht="12.75" customHeight="1">
      <c r="C66" s="126">
        <v>4</v>
      </c>
      <c r="D66" s="19" t="s">
        <v>328</v>
      </c>
      <c r="E66" s="19"/>
      <c r="F66" s="291">
        <v>50000</v>
      </c>
      <c r="G66" s="325"/>
    </row>
    <row r="67" spans="3:12" s="17" customFormat="1" ht="12.75" customHeight="1">
      <c r="C67" s="126"/>
      <c r="D67" s="19"/>
      <c r="E67" s="19"/>
      <c r="F67" s="287"/>
      <c r="G67" s="117"/>
    </row>
    <row r="68" spans="3:12" s="17" customFormat="1" ht="12.75" customHeight="1">
      <c r="C68" s="126">
        <v>5</v>
      </c>
      <c r="D68" s="19" t="s">
        <v>19</v>
      </c>
      <c r="E68" s="19" t="s">
        <v>379</v>
      </c>
      <c r="F68" s="287">
        <v>64000</v>
      </c>
      <c r="G68" s="20"/>
    </row>
    <row r="69" spans="3:12" s="17" customFormat="1" ht="12.75" customHeight="1">
      <c r="C69" s="126">
        <v>5</v>
      </c>
      <c r="D69" s="19" t="s">
        <v>19</v>
      </c>
      <c r="E69" s="19" t="s">
        <v>380</v>
      </c>
      <c r="F69" s="287">
        <v>64000</v>
      </c>
      <c r="G69" s="20"/>
    </row>
    <row r="70" spans="3:12" s="17" customFormat="1" ht="12.75" customHeight="1">
      <c r="C70" s="126">
        <v>5</v>
      </c>
      <c r="D70" s="19" t="s">
        <v>21</v>
      </c>
      <c r="E70" s="19" t="s">
        <v>378</v>
      </c>
      <c r="F70" s="287">
        <v>52500</v>
      </c>
      <c r="G70" s="20"/>
    </row>
    <row r="71" spans="3:12" s="17" customFormat="1" ht="12.75" customHeight="1">
      <c r="C71" s="126">
        <v>5</v>
      </c>
      <c r="D71" s="19" t="s">
        <v>328</v>
      </c>
      <c r="E71" s="19"/>
      <c r="F71" s="291">
        <v>50000</v>
      </c>
      <c r="G71" s="324"/>
    </row>
    <row r="72" spans="3:12" s="17" customFormat="1" ht="12.75" customHeight="1">
      <c r="C72" s="126"/>
      <c r="D72" s="19"/>
      <c r="E72" s="19"/>
      <c r="F72" s="287"/>
      <c r="G72" s="20"/>
    </row>
    <row r="73" spans="3:12" s="17" customFormat="1" ht="12.75" customHeight="1">
      <c r="C73" s="132">
        <v>6</v>
      </c>
      <c r="D73" s="19" t="s">
        <v>19</v>
      </c>
      <c r="E73" s="24" t="s">
        <v>381</v>
      </c>
      <c r="F73" s="287">
        <v>62500</v>
      </c>
      <c r="G73" s="20"/>
    </row>
    <row r="74" spans="3:12" s="17" customFormat="1" ht="12.75" customHeight="1">
      <c r="C74" s="132">
        <v>6</v>
      </c>
      <c r="D74" s="19" t="s">
        <v>19</v>
      </c>
      <c r="E74" s="24" t="s">
        <v>382</v>
      </c>
      <c r="F74" s="287">
        <v>65500</v>
      </c>
      <c r="G74" s="20"/>
    </row>
    <row r="75" spans="3:12" s="17" customFormat="1" ht="12.75" customHeight="1">
      <c r="C75" s="132">
        <v>6</v>
      </c>
      <c r="D75" s="24" t="s">
        <v>21</v>
      </c>
      <c r="E75" s="24"/>
      <c r="F75" s="320">
        <v>50000</v>
      </c>
      <c r="G75" s="324"/>
    </row>
    <row r="76" spans="3:12" s="17" customFormat="1" ht="12.75" customHeight="1">
      <c r="C76" s="132">
        <v>6</v>
      </c>
      <c r="D76" s="24" t="s">
        <v>22</v>
      </c>
      <c r="E76" s="24"/>
      <c r="F76" s="320">
        <v>50000</v>
      </c>
      <c r="G76" s="324"/>
    </row>
    <row r="77" spans="3:12" s="17" customFormat="1" ht="12.75" customHeight="1">
      <c r="C77" s="132">
        <v>6</v>
      </c>
      <c r="D77" s="19" t="s">
        <v>328</v>
      </c>
      <c r="E77" s="24"/>
      <c r="F77" s="291">
        <v>50000</v>
      </c>
      <c r="G77" s="324"/>
    </row>
    <row r="78" spans="3:12" s="17" customFormat="1" ht="12.75" customHeight="1">
      <c r="C78" s="132"/>
      <c r="D78" s="24"/>
      <c r="E78" s="24"/>
      <c r="F78" s="287"/>
      <c r="G78" s="292"/>
      <c r="H78" s="10"/>
      <c r="I78" s="10"/>
      <c r="J78" s="10"/>
      <c r="K78" s="10"/>
      <c r="L78" s="10"/>
    </row>
    <row r="79" spans="3:12" s="17" customFormat="1" ht="12.75" customHeight="1">
      <c r="C79" s="125"/>
      <c r="D79" s="36"/>
      <c r="E79" s="36"/>
      <c r="F79" s="133"/>
      <c r="G79" s="293"/>
      <c r="H79" s="10"/>
      <c r="I79" s="10"/>
      <c r="J79" s="10"/>
      <c r="K79" s="10"/>
      <c r="L79" s="10"/>
    </row>
    <row r="80" spans="3:12" s="17" customFormat="1" ht="12.75" customHeight="1">
      <c r="C80" s="22"/>
      <c r="D80" s="19"/>
      <c r="E80" s="19"/>
      <c r="F80" s="116"/>
      <c r="G80" s="293"/>
      <c r="H80" s="316" t="s">
        <v>359</v>
      </c>
      <c r="I80" s="10"/>
      <c r="J80" s="10"/>
      <c r="K80" s="10"/>
      <c r="L80" s="10"/>
    </row>
    <row r="81" spans="2:12" s="5" customFormat="1" ht="12.75" customHeight="1">
      <c r="B81" s="17"/>
      <c r="C81" s="118"/>
      <c r="D81" s="5" t="s">
        <v>24</v>
      </c>
      <c r="F81" s="119">
        <f>SUM(F4:F79)</f>
        <v>3553000</v>
      </c>
      <c r="G81" s="294"/>
      <c r="H81" s="295">
        <v>3553000</v>
      </c>
      <c r="I81" s="296"/>
      <c r="J81" s="296"/>
      <c r="K81" s="295">
        <f>H81-F81</f>
        <v>0</v>
      </c>
      <c r="L81" s="297"/>
    </row>
    <row r="82" spans="2:12" s="5" customFormat="1" ht="12.75" customHeight="1">
      <c r="B82" s="17"/>
      <c r="C82" s="118"/>
      <c r="D82" s="5" t="s">
        <v>8</v>
      </c>
      <c r="F82" s="27">
        <f>SUM(F9:F22)</f>
        <v>540000</v>
      </c>
      <c r="G82" s="294"/>
      <c r="H82" s="24">
        <v>540000</v>
      </c>
      <c r="I82" s="24"/>
      <c r="J82" s="299"/>
      <c r="K82" s="295">
        <f t="shared" ref="K82:K84" si="0">H82-F82</f>
        <v>0</v>
      </c>
      <c r="L82" s="300"/>
    </row>
    <row r="83" spans="2:12" s="5" customFormat="1" ht="12.75" customHeight="1">
      <c r="B83" s="17"/>
      <c r="C83" s="118"/>
      <c r="D83" s="5" t="s">
        <v>329</v>
      </c>
      <c r="F83" s="27">
        <f>SUM(F4:F7)</f>
        <v>306000</v>
      </c>
      <c r="G83" s="298"/>
      <c r="H83" s="24">
        <v>306000</v>
      </c>
      <c r="I83" s="24"/>
      <c r="J83" s="24"/>
      <c r="K83" s="295">
        <f t="shared" si="0"/>
        <v>0</v>
      </c>
      <c r="L83" s="300"/>
    </row>
    <row r="84" spans="2:12" s="5" customFormat="1" ht="12.75" customHeight="1">
      <c r="B84" s="17"/>
      <c r="C84" s="118"/>
      <c r="D84" s="5" t="s">
        <v>330</v>
      </c>
      <c r="F84" s="121">
        <f>SUM(F24:F79)</f>
        <v>2707000</v>
      </c>
      <c r="G84" s="294"/>
      <c r="H84" s="24">
        <v>2707000</v>
      </c>
      <c r="I84" s="24"/>
      <c r="J84" s="24"/>
      <c r="K84" s="295">
        <f t="shared" si="0"/>
        <v>0</v>
      </c>
      <c r="L84" s="300"/>
    </row>
    <row r="85" spans="2:12" s="5" customFormat="1" ht="12.75" customHeight="1">
      <c r="B85" s="17"/>
      <c r="C85" s="118"/>
      <c r="F85" s="121"/>
      <c r="G85" s="132"/>
      <c r="H85" s="24"/>
      <c r="I85" s="24"/>
      <c r="J85" s="24"/>
      <c r="K85" s="24"/>
      <c r="L85" s="300"/>
    </row>
    <row r="86" spans="2:12" s="5" customFormat="1" ht="12.75" customHeight="1">
      <c r="B86" s="17"/>
      <c r="C86" s="118"/>
      <c r="D86" s="5" t="s">
        <v>331</v>
      </c>
      <c r="F86" s="11">
        <f>COUNTIF(F24:F79, "&gt;0")</f>
        <v>46</v>
      </c>
      <c r="G86" s="301"/>
      <c r="H86" s="24"/>
      <c r="I86" s="24"/>
      <c r="J86" s="302"/>
      <c r="K86" s="24"/>
      <c r="L86" s="300"/>
    </row>
    <row r="87" spans="2:12" s="5" customFormat="1" ht="12.75" customHeight="1">
      <c r="B87" s="17"/>
      <c r="C87" s="118"/>
      <c r="D87" s="5" t="s">
        <v>332</v>
      </c>
      <c r="F87" s="11">
        <f>AVERAGEIF(F24:F79,"&gt;0")</f>
        <v>58847.82608695652</v>
      </c>
      <c r="G87" s="301"/>
      <c r="H87" s="24"/>
      <c r="I87" s="24"/>
      <c r="J87" s="24"/>
      <c r="K87" s="24"/>
      <c r="L87" s="300"/>
    </row>
    <row r="88" spans="2:12" s="5" customFormat="1" ht="12.75" customHeight="1">
      <c r="B88" s="17"/>
      <c r="C88" s="118"/>
      <c r="F88" s="11"/>
      <c r="G88" s="303"/>
      <c r="H88" s="24"/>
      <c r="I88" s="24"/>
      <c r="J88" s="24"/>
      <c r="K88" s="24"/>
      <c r="L88" s="300"/>
    </row>
    <row r="89" spans="2:12" s="5" customFormat="1" ht="12.75" customHeight="1">
      <c r="B89" s="17"/>
      <c r="C89" s="118"/>
      <c r="D89" s="5" t="s">
        <v>17</v>
      </c>
      <c r="F89" s="11">
        <f>COUNTIF(F4:F6,"&gt;0")</f>
        <v>3</v>
      </c>
      <c r="G89" s="301"/>
      <c r="H89" s="24"/>
      <c r="I89" s="24"/>
      <c r="J89" s="24"/>
      <c r="K89" s="24"/>
      <c r="L89" s="300"/>
    </row>
    <row r="90" spans="2:12" s="5" customFormat="1" ht="12.75" customHeight="1">
      <c r="B90" s="17"/>
      <c r="C90" s="118"/>
      <c r="D90" s="5" t="s">
        <v>333</v>
      </c>
      <c r="F90" s="11">
        <f>AVERAGEIF(F4:F6,"&gt;0")</f>
        <v>102000</v>
      </c>
      <c r="G90" s="301"/>
      <c r="H90" s="24"/>
      <c r="I90" s="24"/>
      <c r="J90" s="24"/>
      <c r="K90" s="24"/>
      <c r="L90" s="300"/>
    </row>
    <row r="91" spans="2:12" s="5" customFormat="1" ht="12.75" customHeight="1">
      <c r="B91" s="17"/>
      <c r="C91" s="118"/>
      <c r="F91" s="11"/>
      <c r="G91" s="303"/>
      <c r="H91" s="24"/>
      <c r="I91" s="24"/>
      <c r="J91" s="24"/>
      <c r="K91" s="24"/>
      <c r="L91" s="300"/>
    </row>
    <row r="92" spans="2:12" s="5" customFormat="1" ht="12.75" customHeight="1">
      <c r="B92" s="17"/>
      <c r="C92" s="118"/>
      <c r="D92" s="5" t="s">
        <v>15</v>
      </c>
      <c r="F92" s="11">
        <f>COUNTIF(F9:F21,"&gt;0")</f>
        <v>10</v>
      </c>
      <c r="G92" s="301"/>
      <c r="H92" s="24"/>
      <c r="I92" s="24"/>
      <c r="J92" s="24"/>
      <c r="K92" s="24"/>
      <c r="L92" s="300"/>
    </row>
    <row r="93" spans="2:12" s="5" customFormat="1" ht="12.75" customHeight="1">
      <c r="B93" s="17"/>
      <c r="C93" s="118"/>
      <c r="D93" s="5" t="s">
        <v>334</v>
      </c>
      <c r="F93" s="11">
        <f>AVERAGEIF(F9:F21,"&gt;0")</f>
        <v>54000</v>
      </c>
      <c r="G93" s="304"/>
      <c r="H93" s="37"/>
      <c r="I93" s="37"/>
      <c r="J93" s="37"/>
      <c r="K93" s="37"/>
      <c r="L93" s="305"/>
    </row>
    <row r="94" spans="2:12" s="5" customFormat="1" ht="12.75" customHeight="1">
      <c r="B94" s="17"/>
      <c r="C94" s="118"/>
      <c r="F94" s="11"/>
      <c r="G94" s="120"/>
    </row>
    <row r="95" spans="2:12" s="5" customFormat="1" ht="12.75" customHeight="1">
      <c r="B95" s="17"/>
      <c r="C95" s="118"/>
      <c r="D95" s="5" t="s">
        <v>25</v>
      </c>
      <c r="F95" s="124">
        <f>SUM(F86+F89+F92)</f>
        <v>59</v>
      </c>
      <c r="G95" s="124">
        <f t="shared" ref="G95" si="1">SUM(G86+G89+G92)</f>
        <v>0</v>
      </c>
    </row>
    <row r="96" spans="2:12" s="5" customFormat="1" ht="12.75" customHeight="1">
      <c r="B96" s="17"/>
      <c r="C96" s="118"/>
      <c r="F96" s="25"/>
      <c r="G96" s="120"/>
    </row>
    <row r="97" spans="2:7" s="5" customFormat="1" ht="12.75" customHeight="1">
      <c r="B97" s="17"/>
      <c r="C97" s="118"/>
      <c r="F97" s="25"/>
      <c r="G97" s="120"/>
    </row>
    <row r="98" spans="2:7" s="5" customFormat="1" ht="12.75" customHeight="1">
      <c r="B98" s="17"/>
      <c r="C98" s="118"/>
      <c r="F98" s="25"/>
      <c r="G98" s="120"/>
    </row>
    <row r="99" spans="2:7" s="5" customFormat="1" ht="12.75" customHeight="1">
      <c r="B99" s="17"/>
      <c r="C99" s="118"/>
      <c r="F99" s="25"/>
      <c r="G99" s="120"/>
    </row>
    <row r="100" spans="2:7" s="5" customFormat="1" ht="12.75" customHeight="1">
      <c r="B100" s="17"/>
      <c r="C100" s="118"/>
      <c r="F100" s="25"/>
      <c r="G100" s="120"/>
    </row>
    <row r="101" spans="2:7" s="5" customFormat="1" ht="12.75" customHeight="1">
      <c r="B101" s="17"/>
      <c r="C101" s="118"/>
      <c r="F101" s="25"/>
      <c r="G101" s="120"/>
    </row>
    <row r="102" spans="2:7" s="5" customFormat="1" ht="12.75" customHeight="1">
      <c r="B102" s="17"/>
      <c r="C102" s="118"/>
      <c r="F102" s="25"/>
      <c r="G102" s="120"/>
    </row>
    <row r="103" spans="2:7" s="5" customFormat="1" ht="12.75" customHeight="1">
      <c r="B103" s="17"/>
      <c r="C103" s="118"/>
      <c r="F103" s="25"/>
      <c r="G103" s="120"/>
    </row>
    <row r="104" spans="2:7" s="5" customFormat="1" ht="12.75" customHeight="1">
      <c r="B104" s="17"/>
      <c r="C104" s="118"/>
      <c r="F104" s="25"/>
      <c r="G104" s="120"/>
    </row>
    <row r="105" spans="2:7" s="5" customFormat="1" ht="12.75" customHeight="1">
      <c r="B105" s="17"/>
      <c r="C105" s="118"/>
      <c r="F105" s="25"/>
      <c r="G105" s="120"/>
    </row>
    <row r="106" spans="2:7" s="5" customFormat="1" ht="12.75" customHeight="1">
      <c r="B106" s="17"/>
      <c r="C106" s="118"/>
      <c r="F106" s="25"/>
      <c r="G106" s="120"/>
    </row>
    <row r="107" spans="2:7" ht="12.75" customHeight="1">
      <c r="F107" s="122"/>
    </row>
    <row r="108" spans="2:7" ht="12.75" customHeight="1">
      <c r="F108" s="122"/>
    </row>
    <row r="109" spans="2:7" ht="12.75" customHeight="1">
      <c r="F109" s="122"/>
    </row>
    <row r="110" spans="2:7">
      <c r="F110" s="122"/>
    </row>
    <row r="111" spans="2:7">
      <c r="F111" s="122"/>
    </row>
    <row r="112" spans="2:7">
      <c r="F112" s="122"/>
    </row>
    <row r="113" spans="2:6">
      <c r="F113" s="122"/>
    </row>
    <row r="114" spans="2:6">
      <c r="F114" s="122"/>
    </row>
    <row r="115" spans="2:6">
      <c r="F115" s="122"/>
    </row>
    <row r="116" spans="2:6">
      <c r="F116" s="122"/>
    </row>
    <row r="117" spans="2:6">
      <c r="F117" s="122"/>
    </row>
    <row r="118" spans="2:6">
      <c r="B118" s="1"/>
      <c r="C118" s="1"/>
      <c r="F118" s="122"/>
    </row>
    <row r="119" spans="2:6">
      <c r="B119" s="1"/>
      <c r="C119" s="1"/>
      <c r="F119" s="122"/>
    </row>
    <row r="120" spans="2:6">
      <c r="B120" s="1"/>
      <c r="C120" s="1"/>
      <c r="F120" s="122"/>
    </row>
    <row r="121" spans="2:6">
      <c r="B121" s="1"/>
      <c r="C121" s="1"/>
      <c r="F121" s="122"/>
    </row>
    <row r="122" spans="2:6">
      <c r="B122" s="1"/>
      <c r="C122" s="1"/>
      <c r="F122" s="122"/>
    </row>
    <row r="123" spans="2:6">
      <c r="B123" s="1"/>
      <c r="C123" s="1"/>
      <c r="F123" s="122"/>
    </row>
    <row r="124" spans="2:6">
      <c r="B124" s="1"/>
      <c r="C124" s="1"/>
      <c r="F124" s="122"/>
    </row>
    <row r="125" spans="2:6">
      <c r="B125" s="1"/>
      <c r="C125" s="1"/>
      <c r="F125" s="122"/>
    </row>
    <row r="126" spans="2:6">
      <c r="B126" s="1"/>
      <c r="C126" s="1"/>
      <c r="F126" s="122"/>
    </row>
    <row r="127" spans="2:6">
      <c r="B127" s="1"/>
      <c r="C127" s="1"/>
      <c r="F127" s="122"/>
    </row>
    <row r="128" spans="2:6">
      <c r="B128" s="1"/>
      <c r="C128" s="1"/>
      <c r="F128" s="122"/>
    </row>
    <row r="129" spans="2:7">
      <c r="B129" s="1"/>
      <c r="C129" s="1"/>
      <c r="F129" s="122"/>
    </row>
    <row r="130" spans="2:7">
      <c r="B130" s="1"/>
      <c r="C130" s="1"/>
      <c r="F130" s="122"/>
    </row>
    <row r="131" spans="2:7">
      <c r="B131" s="1"/>
      <c r="C131" s="1"/>
      <c r="F131" s="122"/>
    </row>
    <row r="132" spans="2:7">
      <c r="B132" s="1"/>
      <c r="C132" s="1"/>
      <c r="F132" s="122"/>
    </row>
    <row r="133" spans="2:7">
      <c r="B133" s="1"/>
      <c r="C133" s="1"/>
      <c r="F133" s="122"/>
    </row>
    <row r="134" spans="2:7">
      <c r="B134" s="1"/>
      <c r="C134" s="1"/>
      <c r="F134" s="122"/>
      <c r="G134" s="1"/>
    </row>
    <row r="135" spans="2:7">
      <c r="B135" s="1"/>
      <c r="C135" s="1"/>
      <c r="F135" s="122"/>
      <c r="G135" s="1"/>
    </row>
    <row r="136" spans="2:7">
      <c r="B136" s="1"/>
      <c r="C136" s="1"/>
      <c r="F136" s="122"/>
      <c r="G136" s="1"/>
    </row>
    <row r="137" spans="2:7">
      <c r="B137" s="1"/>
      <c r="C137" s="1"/>
      <c r="F137" s="122"/>
      <c r="G137" s="1"/>
    </row>
    <row r="138" spans="2:7">
      <c r="B138" s="1"/>
      <c r="C138" s="1"/>
      <c r="F138" s="122"/>
      <c r="G138" s="1"/>
    </row>
    <row r="139" spans="2:7">
      <c r="B139" s="1"/>
      <c r="C139" s="1"/>
      <c r="F139" s="122"/>
      <c r="G139" s="1"/>
    </row>
    <row r="140" spans="2:7">
      <c r="B140" s="1"/>
      <c r="C140" s="1"/>
      <c r="F140" s="122"/>
      <c r="G140" s="1"/>
    </row>
    <row r="141" spans="2:7">
      <c r="B141" s="1"/>
      <c r="C141" s="1"/>
      <c r="F141" s="122"/>
      <c r="G141" s="1"/>
    </row>
    <row r="142" spans="2:7">
      <c r="B142" s="1"/>
      <c r="C142" s="1"/>
      <c r="F142" s="122"/>
      <c r="G142" s="1"/>
    </row>
    <row r="143" spans="2:7">
      <c r="B143" s="1"/>
      <c r="C143" s="1"/>
      <c r="F143" s="122"/>
      <c r="G143" s="1"/>
    </row>
    <row r="144" spans="2:7">
      <c r="B144" s="1"/>
      <c r="C144" s="1"/>
      <c r="F144" s="122"/>
      <c r="G144" s="1"/>
    </row>
    <row r="145" spans="2:7">
      <c r="B145" s="1"/>
      <c r="C145" s="1"/>
      <c r="F145" s="122"/>
      <c r="G145" s="1"/>
    </row>
    <row r="146" spans="2:7">
      <c r="B146" s="1"/>
      <c r="C146" s="1"/>
      <c r="F146" s="122"/>
      <c r="G146" s="1"/>
    </row>
    <row r="147" spans="2:7">
      <c r="B147" s="1"/>
      <c r="C147" s="1"/>
      <c r="F147" s="122"/>
      <c r="G147" s="1"/>
    </row>
    <row r="148" spans="2:7">
      <c r="B148" s="1"/>
      <c r="C148" s="1"/>
      <c r="F148" s="122"/>
      <c r="G148" s="1"/>
    </row>
  </sheetData>
  <phoneticPr fontId="16" type="noConversion"/>
  <pageMargins left="0.7" right="0.7" top="0.75" bottom="0.75" header="0.3" footer="0.3"/>
  <pageSetup scale="81" fitToHeight="2" orientation="landscape"/>
  <rowBreaks count="1" manualBreakCount="1">
    <brk id="95" max="16383" man="1"/>
  </rowBreaks>
  <extLst>
    <ext xmlns:mx="http://schemas.microsoft.com/office/mac/excel/2008/main" uri="{64002731-A6B0-56B0-2670-7721B7C09600}">
      <mx:PLV Mode="0" OnePage="0" WScale="5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DPCH DC Budget Detail</vt:lpstr>
      <vt:lpstr>DPCH DC Assumptions</vt:lpstr>
      <vt:lpstr> DPCH DC Staffing  </vt:lpstr>
    </vt:vector>
  </TitlesOfParts>
  <Company>DPPS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 Schnidman</dc:creator>
  <cp:lastModifiedBy>Howard  Schnidman</cp:lastModifiedBy>
  <cp:lastPrinted>2014-05-29T12:58:42Z</cp:lastPrinted>
  <dcterms:created xsi:type="dcterms:W3CDTF">2014-01-19T22:34:37Z</dcterms:created>
  <dcterms:modified xsi:type="dcterms:W3CDTF">2014-05-29T18:54:37Z</dcterms:modified>
</cp:coreProperties>
</file>